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hana.a\Desktop\"/>
    </mc:Choice>
  </mc:AlternateContent>
  <xr:revisionPtr revIDLastSave="0" documentId="8_{68DF2659-66E1-4CAD-9996-BB034179491B}" xr6:coauthVersionLast="47" xr6:coauthVersionMax="47" xr10:uidLastSave="{00000000-0000-0000-0000-000000000000}"/>
  <bookViews>
    <workbookView xWindow="-120" yWindow="-120" windowWidth="29040" windowHeight="15720" xr2:uid="{FAA366C4-4EF1-4915-8BBC-B6EAB2A0B2E8}"/>
  </bookViews>
  <sheets>
    <sheet name="Balans hesabatı " sheetId="1" r:id="rId1"/>
  </sheets>
  <externalReferences>
    <externalReference r:id="rId2"/>
    <externalReference r:id="rId3"/>
  </externalReferences>
  <definedNames>
    <definedName name="_xlnm.Print_Area" localSheetId="0">'Balans hesabatı '!$B$45:$L$63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7" i="1"/>
  <c r="H7" i="1"/>
  <c r="J7" i="1"/>
  <c r="L7" i="1"/>
  <c r="N7" i="1"/>
  <c r="P7" i="1"/>
  <c r="R7" i="1"/>
  <c r="T7" i="1"/>
  <c r="V7" i="1"/>
  <c r="X7" i="1"/>
  <c r="G53" i="1"/>
  <c r="AB7" i="1"/>
  <c r="AD7" i="1"/>
  <c r="AF7" i="1"/>
  <c r="AH7" i="1"/>
  <c r="AI7" i="1"/>
  <c r="AI8" i="1"/>
  <c r="AI9" i="1"/>
  <c r="AI10" i="1"/>
  <c r="AI12" i="1"/>
  <c r="AI13" i="1"/>
  <c r="AI14" i="1"/>
  <c r="AJ7" i="1"/>
  <c r="AK7" i="1"/>
  <c r="AK8" i="1"/>
  <c r="AK9" i="1"/>
  <c r="AK10" i="1"/>
  <c r="AK11" i="1"/>
  <c r="AK12" i="1"/>
  <c r="AK13" i="1"/>
  <c r="AK14" i="1"/>
  <c r="AL7" i="1"/>
  <c r="AM7" i="1"/>
  <c r="AM8" i="1"/>
  <c r="AM9" i="1"/>
  <c r="AM10" i="1"/>
  <c r="AM11" i="1"/>
  <c r="AM12" i="1"/>
  <c r="AM13" i="1"/>
  <c r="AM14" i="1"/>
  <c r="AN7" i="1"/>
  <c r="AO14" i="1"/>
  <c r="AP7" i="1"/>
  <c r="AQ14" i="1"/>
  <c r="AR7" i="1"/>
  <c r="AS14" i="1"/>
  <c r="AT7" i="1"/>
  <c r="AU13" i="1"/>
  <c r="AU14" i="1"/>
  <c r="AV7" i="1"/>
  <c r="AW14" i="1"/>
  <c r="AX7" i="1"/>
  <c r="AY14" i="1"/>
  <c r="AZ7" i="1"/>
  <c r="BA14" i="1"/>
  <c r="BB7" i="1"/>
  <c r="D8" i="1"/>
  <c r="F8" i="1"/>
  <c r="H8" i="1"/>
  <c r="J8" i="1"/>
  <c r="L8" i="1"/>
  <c r="N8" i="1"/>
  <c r="P8" i="1"/>
  <c r="R8" i="1"/>
  <c r="T8" i="1"/>
  <c r="V8" i="1"/>
  <c r="X8" i="1"/>
  <c r="AB8" i="1"/>
  <c r="AD8" i="1"/>
  <c r="AF8" i="1"/>
  <c r="AH8" i="1"/>
  <c r="AJ8" i="1"/>
  <c r="AL8" i="1"/>
  <c r="AN8" i="1"/>
  <c r="AP8" i="1"/>
  <c r="AR8" i="1"/>
  <c r="AT8" i="1"/>
  <c r="AV8" i="1"/>
  <c r="AX8" i="1"/>
  <c r="AZ8" i="1"/>
  <c r="BB8" i="1"/>
  <c r="D9" i="1"/>
  <c r="F9" i="1"/>
  <c r="H9" i="1"/>
  <c r="J9" i="1"/>
  <c r="L9" i="1"/>
  <c r="N9" i="1"/>
  <c r="P9" i="1"/>
  <c r="R9" i="1"/>
  <c r="T9" i="1"/>
  <c r="V9" i="1"/>
  <c r="X9" i="1"/>
  <c r="AB9" i="1"/>
  <c r="AD9" i="1"/>
  <c r="AF9" i="1"/>
  <c r="AH9" i="1"/>
  <c r="AJ9" i="1"/>
  <c r="AL9" i="1"/>
  <c r="AN9" i="1"/>
  <c r="AP9" i="1"/>
  <c r="AR9" i="1"/>
  <c r="AT9" i="1"/>
  <c r="AV9" i="1"/>
  <c r="AX9" i="1"/>
  <c r="AZ9" i="1"/>
  <c r="BB9" i="1"/>
  <c r="D10" i="1"/>
  <c r="F10" i="1"/>
  <c r="H10" i="1"/>
  <c r="J10" i="1"/>
  <c r="L10" i="1"/>
  <c r="N10" i="1"/>
  <c r="P10" i="1"/>
  <c r="R10" i="1"/>
  <c r="T10" i="1"/>
  <c r="V10" i="1"/>
  <c r="X10" i="1"/>
  <c r="AB10" i="1"/>
  <c r="AD10" i="1"/>
  <c r="AF10" i="1"/>
  <c r="AH10" i="1"/>
  <c r="AJ10" i="1"/>
  <c r="AL10" i="1"/>
  <c r="AN10" i="1"/>
  <c r="AP10" i="1"/>
  <c r="AR10" i="1"/>
  <c r="AT10" i="1"/>
  <c r="AV10" i="1"/>
  <c r="AX10" i="1"/>
  <c r="AZ10" i="1"/>
  <c r="BB10" i="1"/>
  <c r="AL11" i="1"/>
  <c r="AN11" i="1"/>
  <c r="AP11" i="1"/>
  <c r="AR11" i="1"/>
  <c r="AT11" i="1"/>
  <c r="AV11" i="1"/>
  <c r="AX11" i="1"/>
  <c r="AZ11" i="1"/>
  <c r="BB11" i="1"/>
  <c r="D12" i="1"/>
  <c r="F12" i="1"/>
  <c r="H12" i="1"/>
  <c r="J12" i="1"/>
  <c r="L12" i="1"/>
  <c r="N12" i="1"/>
  <c r="P12" i="1"/>
  <c r="R12" i="1"/>
  <c r="T12" i="1"/>
  <c r="V12" i="1"/>
  <c r="X12" i="1"/>
  <c r="AB12" i="1"/>
  <c r="AD12" i="1"/>
  <c r="AF12" i="1"/>
  <c r="AH12" i="1"/>
  <c r="AJ12" i="1"/>
  <c r="AL12" i="1"/>
  <c r="AN12" i="1"/>
  <c r="AP12" i="1"/>
  <c r="AR12" i="1"/>
  <c r="AT12" i="1"/>
  <c r="AV12" i="1"/>
  <c r="AX12" i="1"/>
  <c r="AZ12" i="1"/>
  <c r="BB12" i="1"/>
  <c r="D13" i="1"/>
  <c r="F13" i="1"/>
  <c r="H13" i="1"/>
  <c r="J13" i="1"/>
  <c r="L13" i="1"/>
  <c r="N13" i="1"/>
  <c r="P13" i="1"/>
  <c r="R13" i="1"/>
  <c r="T13" i="1"/>
  <c r="V13" i="1"/>
  <c r="X13" i="1"/>
  <c r="AB13" i="1"/>
  <c r="AD13" i="1"/>
  <c r="AF13" i="1"/>
  <c r="AH13" i="1"/>
  <c r="AJ13" i="1"/>
  <c r="AL13" i="1"/>
  <c r="AN13" i="1"/>
  <c r="AP13" i="1"/>
  <c r="AR13" i="1"/>
  <c r="AT13" i="1"/>
  <c r="AV13" i="1"/>
  <c r="AX13" i="1"/>
  <c r="AZ13" i="1"/>
  <c r="BB13" i="1"/>
  <c r="D14" i="1"/>
  <c r="F14" i="1"/>
  <c r="H14" i="1"/>
  <c r="J14" i="1"/>
  <c r="L14" i="1"/>
  <c r="N14" i="1"/>
  <c r="P14" i="1"/>
  <c r="R14" i="1"/>
  <c r="T14" i="1"/>
  <c r="V14" i="1"/>
  <c r="X14" i="1"/>
  <c r="Z14" i="1"/>
  <c r="AB14" i="1"/>
  <c r="AD14" i="1"/>
  <c r="AF14" i="1"/>
  <c r="AH14" i="1"/>
  <c r="AJ14" i="1"/>
  <c r="AL14" i="1"/>
  <c r="AN14" i="1"/>
  <c r="AP14" i="1"/>
  <c r="AR14" i="1"/>
  <c r="AT14" i="1"/>
  <c r="AV14" i="1"/>
  <c r="AX14" i="1"/>
  <c r="AZ14" i="1"/>
  <c r="BB14" i="1"/>
  <c r="O15" i="1"/>
  <c r="F16" i="1"/>
  <c r="H16" i="1"/>
  <c r="J16" i="1"/>
  <c r="L16" i="1"/>
  <c r="N16" i="1"/>
  <c r="P16" i="1"/>
  <c r="R16" i="1"/>
  <c r="T16" i="1"/>
  <c r="U23" i="1"/>
  <c r="U18" i="1"/>
  <c r="U24" i="1"/>
  <c r="V16" i="1"/>
  <c r="X16" i="1"/>
  <c r="G59" i="1"/>
  <c r="G60" i="1"/>
  <c r="G61" i="1"/>
  <c r="G62" i="1"/>
  <c r="G56" i="1"/>
  <c r="G55" i="1"/>
  <c r="G57" i="1"/>
  <c r="G63" i="1"/>
  <c r="AB16" i="1"/>
  <c r="AC23" i="1"/>
  <c r="AC18" i="1"/>
  <c r="AC24" i="1"/>
  <c r="AD16" i="1"/>
  <c r="AE23" i="1"/>
  <c r="AE18" i="1"/>
  <c r="AE24" i="1"/>
  <c r="AF16" i="1"/>
  <c r="AG23" i="1"/>
  <c r="AG18" i="1"/>
  <c r="AG24" i="1"/>
  <c r="AH16" i="1"/>
  <c r="AI16" i="1"/>
  <c r="AI20" i="1"/>
  <c r="AI21" i="1"/>
  <c r="AI22" i="1"/>
  <c r="AI23" i="1"/>
  <c r="AI17" i="1"/>
  <c r="AI18" i="1"/>
  <c r="AI24" i="1"/>
  <c r="AJ16" i="1"/>
  <c r="AK16" i="1"/>
  <c r="AK20" i="1"/>
  <c r="AK21" i="1"/>
  <c r="AK22" i="1"/>
  <c r="AK23" i="1"/>
  <c r="AK17" i="1"/>
  <c r="AK18" i="1"/>
  <c r="AK24" i="1"/>
  <c r="AL16" i="1"/>
  <c r="AM16" i="1"/>
  <c r="AM20" i="1"/>
  <c r="AM21" i="1"/>
  <c r="AM22" i="1"/>
  <c r="AM23" i="1"/>
  <c r="AM17" i="1"/>
  <c r="AM18" i="1"/>
  <c r="AM24" i="1"/>
  <c r="AN16" i="1"/>
  <c r="AO20" i="1"/>
  <c r="AO23" i="1"/>
  <c r="AO17" i="1"/>
  <c r="AO18" i="1"/>
  <c r="AO24" i="1"/>
  <c r="AP16" i="1"/>
  <c r="AQ20" i="1"/>
  <c r="AQ23" i="1"/>
  <c r="AQ18" i="1"/>
  <c r="AQ24" i="1"/>
  <c r="AR16" i="1"/>
  <c r="AS23" i="1"/>
  <c r="AS18" i="1"/>
  <c r="AS24" i="1"/>
  <c r="AT16" i="1"/>
  <c r="AU23" i="1"/>
  <c r="AU17" i="1"/>
  <c r="AU18" i="1"/>
  <c r="AU24" i="1"/>
  <c r="AV16" i="1"/>
  <c r="AW23" i="1"/>
  <c r="AW18" i="1"/>
  <c r="AW24" i="1"/>
  <c r="AX16" i="1"/>
  <c r="AY23" i="1"/>
  <c r="AY18" i="1"/>
  <c r="AY24" i="1"/>
  <c r="AZ16" i="1"/>
  <c r="BA23" i="1"/>
  <c r="BA18" i="1"/>
  <c r="BA24" i="1"/>
  <c r="BB16" i="1"/>
  <c r="D17" i="1"/>
  <c r="F17" i="1"/>
  <c r="H17" i="1"/>
  <c r="J17" i="1"/>
  <c r="L17" i="1"/>
  <c r="N17" i="1"/>
  <c r="P17" i="1"/>
  <c r="R17" i="1"/>
  <c r="T17" i="1"/>
  <c r="V17" i="1"/>
  <c r="X17" i="1"/>
  <c r="AB17" i="1"/>
  <c r="AD17" i="1"/>
  <c r="AF17" i="1"/>
  <c r="AH17" i="1"/>
  <c r="AJ17" i="1"/>
  <c r="AL17" i="1"/>
  <c r="AN17" i="1"/>
  <c r="AP17" i="1"/>
  <c r="AR17" i="1"/>
  <c r="AT17" i="1"/>
  <c r="AV17" i="1"/>
  <c r="AX17" i="1"/>
  <c r="AZ17" i="1"/>
  <c r="BB17" i="1"/>
  <c r="AA18" i="1"/>
  <c r="AP18" i="1"/>
  <c r="D20" i="1"/>
  <c r="F20" i="1"/>
  <c r="H20" i="1"/>
  <c r="J20" i="1"/>
  <c r="L20" i="1"/>
  <c r="N20" i="1"/>
  <c r="P20" i="1"/>
  <c r="R20" i="1"/>
  <c r="T20" i="1"/>
  <c r="V20" i="1"/>
  <c r="X20" i="1"/>
  <c r="AB20" i="1"/>
  <c r="AD20" i="1"/>
  <c r="AF20" i="1"/>
  <c r="AH20" i="1"/>
  <c r="AJ20" i="1"/>
  <c r="AL20" i="1"/>
  <c r="AN20" i="1"/>
  <c r="AP20" i="1"/>
  <c r="AR20" i="1"/>
  <c r="AT20" i="1"/>
  <c r="AV20" i="1"/>
  <c r="AX20" i="1"/>
  <c r="AZ20" i="1"/>
  <c r="BB20" i="1"/>
  <c r="D21" i="1"/>
  <c r="F21" i="1"/>
  <c r="H21" i="1"/>
  <c r="J21" i="1"/>
  <c r="L21" i="1"/>
  <c r="N21" i="1"/>
  <c r="P21" i="1"/>
  <c r="R21" i="1"/>
  <c r="T21" i="1"/>
  <c r="V21" i="1"/>
  <c r="X21" i="1"/>
  <c r="AB21" i="1"/>
  <c r="AD21" i="1"/>
  <c r="AF21" i="1"/>
  <c r="AH21" i="1"/>
  <c r="AJ21" i="1"/>
  <c r="AL21" i="1"/>
  <c r="AN21" i="1"/>
  <c r="AP21" i="1"/>
  <c r="AR21" i="1"/>
  <c r="AT21" i="1"/>
  <c r="AV21" i="1"/>
  <c r="AX21" i="1"/>
  <c r="AZ21" i="1"/>
  <c r="BB21" i="1"/>
  <c r="X22" i="1"/>
  <c r="AB22" i="1"/>
  <c r="AD22" i="1"/>
  <c r="AF22" i="1"/>
  <c r="AH22" i="1"/>
  <c r="AJ22" i="1"/>
  <c r="AL22" i="1"/>
  <c r="AN22" i="1"/>
  <c r="AP22" i="1"/>
  <c r="AR22" i="1"/>
  <c r="AT22" i="1"/>
  <c r="AV22" i="1"/>
  <c r="AX22" i="1"/>
  <c r="AZ22" i="1"/>
  <c r="BB22" i="1"/>
  <c r="AA23" i="1"/>
  <c r="AP23" i="1"/>
  <c r="D24" i="1"/>
  <c r="F24" i="1"/>
  <c r="H24" i="1"/>
  <c r="J24" i="1"/>
  <c r="L24" i="1"/>
  <c r="N24" i="1"/>
  <c r="P24" i="1"/>
  <c r="R24" i="1"/>
  <c r="T24" i="1"/>
  <c r="V24" i="1"/>
  <c r="X24" i="1"/>
  <c r="Z24" i="1"/>
  <c r="AA24" i="1"/>
  <c r="AB24" i="1"/>
  <c r="AD24" i="1"/>
  <c r="AF24" i="1"/>
  <c r="AH24" i="1"/>
  <c r="AJ24" i="1"/>
  <c r="AL24" i="1"/>
  <c r="AN24" i="1"/>
  <c r="AP24" i="1"/>
  <c r="AR24" i="1"/>
  <c r="AT24" i="1"/>
  <c r="AV24" i="1"/>
  <c r="AX24" i="1"/>
  <c r="AZ24" i="1"/>
  <c r="BB24" i="1"/>
  <c r="AG26" i="1"/>
  <c r="D28" i="1"/>
  <c r="F28" i="1"/>
  <c r="H28" i="1"/>
  <c r="J28" i="1"/>
  <c r="L28" i="1"/>
  <c r="D29" i="1"/>
  <c r="F29" i="1"/>
  <c r="H29" i="1"/>
  <c r="J29" i="1"/>
  <c r="L29" i="1"/>
  <c r="D30" i="1"/>
  <c r="F30" i="1"/>
  <c r="H30" i="1"/>
  <c r="J30" i="1"/>
  <c r="L30" i="1"/>
  <c r="D31" i="1"/>
  <c r="F31" i="1"/>
  <c r="H31" i="1"/>
  <c r="J31" i="1"/>
  <c r="L31" i="1"/>
  <c r="D32" i="1"/>
  <c r="F32" i="1"/>
  <c r="H32" i="1"/>
  <c r="J32" i="1"/>
  <c r="L32" i="1"/>
  <c r="D33" i="1"/>
  <c r="F33" i="1"/>
  <c r="H33" i="1"/>
  <c r="J33" i="1"/>
  <c r="L33" i="1"/>
  <c r="D36" i="1"/>
  <c r="F36" i="1"/>
  <c r="H36" i="1"/>
  <c r="J36" i="1"/>
  <c r="K42" i="1"/>
  <c r="K38" i="1"/>
  <c r="K43" i="1"/>
  <c r="L36" i="1"/>
  <c r="D37" i="1"/>
  <c r="F37" i="1"/>
  <c r="H37" i="1"/>
  <c r="J37" i="1"/>
  <c r="L37" i="1"/>
  <c r="D40" i="1"/>
  <c r="F40" i="1"/>
  <c r="H40" i="1"/>
  <c r="J40" i="1"/>
  <c r="L40" i="1"/>
  <c r="D41" i="1"/>
  <c r="F41" i="1"/>
  <c r="H41" i="1"/>
  <c r="J41" i="1"/>
  <c r="L41" i="1"/>
  <c r="O46" i="1"/>
  <c r="P46" i="1"/>
  <c r="Q46" i="1"/>
  <c r="R46" i="1"/>
  <c r="D47" i="1"/>
  <c r="G47" i="1"/>
  <c r="H47" i="1"/>
  <c r="I47" i="1"/>
  <c r="J47" i="1"/>
  <c r="K47" i="1"/>
  <c r="L47" i="1"/>
  <c r="M47" i="1"/>
  <c r="N47" i="1"/>
  <c r="O47" i="1"/>
  <c r="P47" i="1"/>
  <c r="Q47" i="1"/>
  <c r="Q53" i="1"/>
  <c r="R47" i="1"/>
  <c r="D48" i="1"/>
  <c r="G48" i="1"/>
  <c r="H48" i="1"/>
  <c r="I48" i="1"/>
  <c r="J48" i="1"/>
  <c r="K48" i="1"/>
  <c r="L48" i="1"/>
  <c r="M48" i="1"/>
  <c r="N48" i="1"/>
  <c r="O48" i="1"/>
  <c r="P48" i="1"/>
  <c r="Q48" i="1"/>
  <c r="R48" i="1"/>
  <c r="D49" i="1"/>
  <c r="G49" i="1"/>
  <c r="H49" i="1"/>
  <c r="I49" i="1"/>
  <c r="J49" i="1"/>
  <c r="K49" i="1"/>
  <c r="L49" i="1"/>
  <c r="M49" i="1"/>
  <c r="N49" i="1"/>
  <c r="O49" i="1"/>
  <c r="P49" i="1"/>
  <c r="Q49" i="1"/>
  <c r="R49" i="1"/>
  <c r="D50" i="1"/>
  <c r="G50" i="1"/>
  <c r="H50" i="1"/>
  <c r="I50" i="1"/>
  <c r="J50" i="1"/>
  <c r="K50" i="1"/>
  <c r="L50" i="1"/>
  <c r="M50" i="1"/>
  <c r="N50" i="1"/>
  <c r="O50" i="1"/>
  <c r="P50" i="1"/>
  <c r="Q50" i="1"/>
  <c r="R50" i="1"/>
  <c r="D51" i="1"/>
  <c r="G51" i="1"/>
  <c r="H51" i="1"/>
  <c r="I51" i="1"/>
  <c r="J51" i="1"/>
  <c r="K51" i="1"/>
  <c r="L51" i="1"/>
  <c r="M51" i="1"/>
  <c r="N51" i="1"/>
  <c r="O51" i="1"/>
  <c r="P51" i="1"/>
  <c r="Q51" i="1"/>
  <c r="R51" i="1"/>
  <c r="D52" i="1"/>
  <c r="G52" i="1"/>
  <c r="H52" i="1"/>
  <c r="I53" i="1"/>
  <c r="I52" i="1"/>
  <c r="J52" i="1"/>
  <c r="K53" i="1"/>
  <c r="K52" i="1"/>
  <c r="L52" i="1"/>
  <c r="M53" i="1"/>
  <c r="M52" i="1"/>
  <c r="N52" i="1"/>
  <c r="O52" i="1"/>
  <c r="P52" i="1"/>
  <c r="Q52" i="1"/>
  <c r="R52" i="1"/>
  <c r="O53" i="1"/>
  <c r="P53" i="1"/>
  <c r="R53" i="1"/>
  <c r="D55" i="1"/>
  <c r="H55" i="1"/>
  <c r="I55" i="1"/>
  <c r="J55" i="1"/>
  <c r="K55" i="1"/>
  <c r="L55" i="1"/>
  <c r="M55" i="1"/>
  <c r="N55" i="1"/>
  <c r="O55" i="1"/>
  <c r="P55" i="1"/>
  <c r="Q55" i="1"/>
  <c r="Q63" i="1"/>
  <c r="R55" i="1"/>
  <c r="D56" i="1"/>
  <c r="H56" i="1"/>
  <c r="I56" i="1"/>
  <c r="J56" i="1"/>
  <c r="K56" i="1"/>
  <c r="L56" i="1"/>
  <c r="M56" i="1"/>
  <c r="N56" i="1"/>
  <c r="O56" i="1"/>
  <c r="P56" i="1"/>
  <c r="Q56" i="1"/>
  <c r="R56" i="1"/>
  <c r="I57" i="1"/>
  <c r="K57" i="1"/>
  <c r="M57" i="1"/>
  <c r="O57" i="1"/>
  <c r="Q57" i="1"/>
  <c r="D59" i="1"/>
  <c r="H59" i="1"/>
  <c r="I59" i="1"/>
  <c r="J59" i="1"/>
  <c r="K59" i="1"/>
  <c r="L59" i="1"/>
  <c r="M59" i="1"/>
  <c r="N59" i="1"/>
  <c r="O59" i="1"/>
  <c r="P59" i="1"/>
  <c r="Q59" i="1"/>
  <c r="R59" i="1"/>
  <c r="D60" i="1"/>
  <c r="H60" i="1"/>
  <c r="I60" i="1"/>
  <c r="J60" i="1"/>
  <c r="K60" i="1"/>
  <c r="L60" i="1"/>
  <c r="M60" i="1"/>
  <c r="N60" i="1"/>
  <c r="O60" i="1"/>
  <c r="P60" i="1"/>
  <c r="Q60" i="1"/>
  <c r="R60" i="1"/>
  <c r="D61" i="1"/>
  <c r="H61" i="1"/>
  <c r="I61" i="1"/>
  <c r="J61" i="1"/>
  <c r="K61" i="1"/>
  <c r="L61" i="1"/>
  <c r="M61" i="1"/>
  <c r="N61" i="1"/>
  <c r="O61" i="1"/>
  <c r="P61" i="1"/>
  <c r="Q61" i="1"/>
  <c r="R61" i="1"/>
  <c r="I62" i="1"/>
  <c r="K62" i="1"/>
  <c r="M62" i="1"/>
  <c r="O62" i="1"/>
  <c r="Q62" i="1"/>
  <c r="R62" i="1"/>
  <c r="I63" i="1"/>
  <c r="K63" i="1"/>
  <c r="M63" i="1"/>
  <c r="O63" i="1"/>
  <c r="P63" i="1"/>
  <c r="R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A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AC8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AE8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AG8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AA17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AC17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AE17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AG17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AA20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AC20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AE20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AG20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G48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I48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K48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M48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0.5% proviziyalara görə tutulur</t>
        </r>
      </text>
    </comment>
    <comment ref="G56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I56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K56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M56" authorId="0" shapeId="0" xr:uid="{00000000-0006-0000-0C00-00001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I68(digər öhdəliklər) əlavə edilib</t>
        </r>
      </text>
    </comment>
    <comment ref="G59" authorId="0" shapeId="0" xr:uid="{00000000-0006-0000-0C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I59" authorId="0" shapeId="0" xr:uid="{00000000-0006-0000-0C00-00001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K59" authorId="0" shapeId="0" xr:uid="{00000000-0006-0000-0C00-00001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  <comment ref="M59" authorId="0" shapeId="0" xr:uid="{00000000-0006-0000-0C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ancaq nizamnamə kapitalı
</t>
        </r>
      </text>
    </comment>
  </commentList>
</comments>
</file>

<file path=xl/sharedStrings.xml><?xml version="1.0" encoding="utf-8"?>
<sst xmlns="http://schemas.openxmlformats.org/spreadsheetml/2006/main" count="143" uniqueCount="32">
  <si>
    <t xml:space="preserve"> İllik yekun maliyyə göstəriciləri audit
olunmuş hesabatlara, 2025 maliyyə göstəriciləri
IKZF-in daxili hesabatlarına əsasən hazırlanmışdır.</t>
  </si>
  <si>
    <t>Cəmi öhdəliklər və kapital</t>
  </si>
  <si>
    <t>Cəmi kapital və dövlətə aid olan məbləğ</t>
  </si>
  <si>
    <t>Cari maliyyə ilinin mənfəəti/zərəri</t>
  </si>
  <si>
    <t>Bölüşdürülməmiş mənfəət</t>
  </si>
  <si>
    <t>Dövlət büdcəsindən ayırmalar / Nizamnamə kapitalı</t>
  </si>
  <si>
    <t>KAPİTAL VƏ DÖVLƏTƏ AİD OLAN MƏBLƏĞ</t>
  </si>
  <si>
    <t>Cəmi öhdəliklər</t>
  </si>
  <si>
    <t>Digər öhdəliklər</t>
  </si>
  <si>
    <t>Buraxılmış qiymətli kağızlar</t>
  </si>
  <si>
    <t>ÖHDƏLİKLƏR</t>
  </si>
  <si>
    <t>Cəmi aktivlər</t>
  </si>
  <si>
    <t>Digər aktivlər</t>
  </si>
  <si>
    <t>Əmlak, avadanlıqlar və qeyri maddi aktivlər</t>
  </si>
  <si>
    <t>İpoteka kreditləri</t>
  </si>
  <si>
    <t>Ödəniş tarixinədək saxlanılan investisiyalar</t>
  </si>
  <si>
    <t>Banklarda yerləşdirilmiş depozitlər</t>
  </si>
  <si>
    <t>Pul vəsaitləri və onların ekvivalentləri</t>
  </si>
  <si>
    <t>payı [%]</t>
  </si>
  <si>
    <t>Məbləğ</t>
  </si>
  <si>
    <t>AKTIVLƏR</t>
  </si>
  <si>
    <t>2020 I rüb</t>
  </si>
  <si>
    <t>2019 III rüb</t>
  </si>
  <si>
    <t>2019 II rüb</t>
  </si>
  <si>
    <t>2019 I rüb</t>
  </si>
  <si>
    <t>Balans hesabatı</t>
  </si>
  <si>
    <t>Bölüşdürülməmiş mənəət</t>
  </si>
  <si>
    <t>Dövlət büdcəsindən ayırmalar</t>
  </si>
  <si>
    <t>Kirayə mənzil (Maliyyə icarəsi üzrə alınacaq vəsait)</t>
  </si>
  <si>
    <t>2025**</t>
  </si>
  <si>
    <t>2020 III rüb</t>
  </si>
  <si>
    <t>2020 II rüb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</si>
</sst>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m_a_n_._-;\-* #,##0\ _m_a_n_._-;_-* &quot;-&quot;\ _m_a_n_._-;_-@_-"/>
    <numFmt numFmtId="165" formatCode="_-* #,##0.00\ _m_a_n_._-;\-* #,##0.00\ _m_a_n_._-;_-* &quot;-&quot;\ _m_a_n_.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b/>
      <i/>
      <sz val="11"/>
      <color theme="3"/>
      <name val="Arial"/>
      <family val="2"/>
    </font>
    <font>
      <i/>
      <sz val="11"/>
      <color theme="3"/>
      <name val="Arial"/>
      <family val="2"/>
    </font>
    <font>
      <b/>
      <i/>
      <sz val="11"/>
      <color theme="3"/>
      <name val="Calibri"/>
      <family val="2"/>
      <scheme val="minor"/>
    </font>
    <font>
      <b/>
      <sz val="10"/>
      <color theme="3"/>
      <name val="Arial"/>
      <family val="2"/>
    </font>
    <font>
      <b/>
      <i/>
      <sz val="10"/>
      <color theme="3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860A4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0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0" fontId="3" fillId="3" borderId="0" xfId="2" applyFont="1" applyFill="1"/>
    <xf numFmtId="0" fontId="4" fillId="3" borderId="0" xfId="2" applyFont="1" applyFill="1" applyAlignment="1">
      <alignment vertical="top" wrapText="1"/>
    </xf>
    <xf numFmtId="0" fontId="0" fillId="3" borderId="1" xfId="0" applyFill="1" applyBorder="1"/>
    <xf numFmtId="10" fontId="5" fillId="0" borderId="2" xfId="1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164" fontId="5" fillId="4" borderId="2" xfId="0" applyNumberFormat="1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0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164" fontId="5" fillId="3" borderId="2" xfId="0" applyNumberFormat="1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0" fontId="5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166" fontId="5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10" fontId="0" fillId="0" borderId="2" xfId="0" applyNumberFormat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9" fillId="4" borderId="0" xfId="0" applyFont="1" applyFill="1"/>
    <xf numFmtId="10" fontId="6" fillId="3" borderId="0" xfId="0" applyNumberFormat="1" applyFont="1" applyFill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6" fontId="4" fillId="4" borderId="0" xfId="0" applyNumberFormat="1" applyFont="1" applyFill="1" applyAlignment="1">
      <alignment horizontal="center"/>
    </xf>
    <xf numFmtId="10" fontId="6" fillId="0" borderId="2" xfId="1" applyNumberFormat="1" applyFont="1" applyFill="1" applyBorder="1" applyAlignment="1">
      <alignment horizontal="center"/>
    </xf>
    <xf numFmtId="10" fontId="6" fillId="3" borderId="0" xfId="1" applyNumberFormat="1" applyFont="1" applyFill="1" applyBorder="1" applyAlignment="1">
      <alignment horizontal="center"/>
    </xf>
    <xf numFmtId="10" fontId="5" fillId="4" borderId="0" xfId="1" applyNumberFormat="1" applyFont="1" applyFill="1" applyBorder="1" applyAlignment="1">
      <alignment horizontal="center"/>
    </xf>
    <xf numFmtId="10" fontId="5" fillId="4" borderId="0" xfId="0" applyNumberFormat="1" applyFont="1" applyFill="1" applyAlignment="1">
      <alignment horizontal="center"/>
    </xf>
    <xf numFmtId="10" fontId="5" fillId="3" borderId="0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2" fillId="5" borderId="0" xfId="0" applyFont="1" applyFill="1" applyAlignment="1">
      <alignment horizontal="center"/>
    </xf>
    <xf numFmtId="0" fontId="13" fillId="5" borderId="0" xfId="0" applyFont="1" applyFill="1"/>
    <xf numFmtId="166" fontId="6" fillId="3" borderId="0" xfId="0" applyNumberFormat="1" applyFont="1" applyFill="1"/>
    <xf numFmtId="164" fontId="6" fillId="3" borderId="0" xfId="0" applyNumberFormat="1" applyFont="1" applyFill="1"/>
    <xf numFmtId="166" fontId="6" fillId="3" borderId="3" xfId="0" applyNumberFormat="1" applyFont="1" applyFill="1" applyBorder="1"/>
    <xf numFmtId="166" fontId="6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0" fillId="3" borderId="2" xfId="0" applyFill="1" applyBorder="1"/>
    <xf numFmtId="10" fontId="6" fillId="4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6" fontId="6" fillId="2" borderId="2" xfId="3" applyNumberFormat="1" applyFont="1" applyBorder="1" applyAlignment="1">
      <alignment horizontal="center"/>
    </xf>
    <xf numFmtId="164" fontId="6" fillId="2" borderId="2" xfId="3" applyNumberFormat="1" applyFont="1" applyBorder="1" applyAlignment="1">
      <alignment horizontal="center"/>
    </xf>
    <xf numFmtId="0" fontId="7" fillId="2" borderId="2" xfId="3" applyFont="1" applyBorder="1" applyAlignment="1">
      <alignment horizontal="left"/>
    </xf>
    <xf numFmtId="166" fontId="5" fillId="3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0" fontId="5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left"/>
    </xf>
    <xf numFmtId="166" fontId="5" fillId="4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10" fontId="0" fillId="4" borderId="2" xfId="0" applyNumberFormat="1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0" fontId="9" fillId="4" borderId="2" xfId="0" applyFont="1" applyFill="1" applyBorder="1"/>
    <xf numFmtId="10" fontId="6" fillId="3" borderId="2" xfId="0" applyNumberFormat="1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10" fontId="6" fillId="3" borderId="2" xfId="1" applyNumberFormat="1" applyFont="1" applyFill="1" applyBorder="1" applyAlignment="1">
      <alignment horizontal="center"/>
    </xf>
    <xf numFmtId="10" fontId="5" fillId="4" borderId="2" xfId="1" applyNumberFormat="1" applyFont="1" applyFill="1" applyBorder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10" fontId="5" fillId="3" borderId="2" xfId="1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/>
    <xf numFmtId="0" fontId="12" fillId="5" borderId="2" xfId="0" applyFont="1" applyFill="1" applyBorder="1" applyAlignment="1">
      <alignment horizontal="center"/>
    </xf>
    <xf numFmtId="0" fontId="13" fillId="5" borderId="2" xfId="0" applyFont="1" applyFill="1" applyBorder="1"/>
  </cellXfs>
  <cellStyles count="4">
    <cellStyle name="20% - Accent1 2" xfId="3" xr:uid="{C1005E8E-0511-4273-A64D-FFE8975A1E42}"/>
    <cellStyle name="Normal" xfId="0" builtinId="0"/>
    <cellStyle name="Normal 2" xfId="2" xr:uid="{AA2CA050-ECDA-411A-AF89-1797CCBC46A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hesabatlar&#305;%2031.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r.sh/AppData/Local/Microsoft/Windows/INetCache/Content.Outlook/SXT6DZDP/Maliyy&#601;%20hesabatlar&#305;%2030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üvafiq maliyyə hesabatları"/>
      <sheetName val="Key performance Indicators  (3)"/>
      <sheetName val="Mənfəət və zərər (2)"/>
      <sheetName val="Trend təhlillər"/>
      <sheetName val="Əsas maliyyə göstəriciləri"/>
      <sheetName val="Mənfəət və zərər "/>
      <sheetName val="Ratio analizi"/>
      <sheetName val="Trend analizi"/>
      <sheetName val="Trend analysis"/>
      <sheetName val="Reference"/>
      <sheetName val="Key performance Indicators (2)"/>
      <sheetName val="balance sheet"/>
      <sheetName val=" maliyyə göstəriciləri"/>
      <sheetName val="1225(iyun2017)"/>
      <sheetName val="1230(dekabr2018)"/>
      <sheetName val="1230(mart2019)"/>
      <sheetName val="1230(iyun2019)"/>
      <sheetName val="1230(sentyabr2019)"/>
      <sheetName val="1230(dekabr2019)"/>
      <sheetName val="1230(mart2020)"/>
      <sheetName val="1230(iyun2020)"/>
      <sheetName val="1230 sentyabr 2020"/>
      <sheetName val="1230-dekabr2020"/>
      <sheetName val="1230-sentyabr2021"/>
      <sheetName val="P&amp;L 3rub"/>
      <sheetName val="P&amp;L4rub"/>
      <sheetName val="1225(dekabr2018)"/>
      <sheetName val="1225(mart2019)"/>
      <sheetName val="1225(iyun2019)"/>
      <sheetName val="1225(sentyabr2019)"/>
      <sheetName val="1225(dekabr2019)"/>
      <sheetName val="1225(mart2020)"/>
      <sheetName val="1225 iyun 2020"/>
      <sheetName val="1225 sentyabr 2020"/>
      <sheetName val="1225 dekabr 2020"/>
      <sheetName val="1225 mart 2021"/>
      <sheetName val="1225 iyun 2021"/>
      <sheetName val="1225-sentyabr2021"/>
      <sheetName val="1265(dekabr2018)"/>
      <sheetName val="1265(mart2019)"/>
      <sheetName val="1265(iyun2019)"/>
      <sheetName val="1265(sentyabr2019)"/>
      <sheetName val="1265(dekabr2019)"/>
      <sheetName val="1265(mart2020)"/>
      <sheetName val="1265(iyun2020)"/>
      <sheetName val="1265(sentyabr2020)"/>
      <sheetName val="1265(dekabr2020)"/>
      <sheetName val="1265(mart2021)"/>
      <sheetName val="1265(iyun202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H5">
            <v>1710.7</v>
          </cell>
        </row>
        <row r="6">
          <cell r="H6">
            <v>55782428.229999997</v>
          </cell>
        </row>
        <row r="7">
          <cell r="H7">
            <v>255114200</v>
          </cell>
        </row>
        <row r="8">
          <cell r="H8">
            <v>6548070.6799999997</v>
          </cell>
        </row>
        <row r="9">
          <cell r="H9">
            <v>-5265962.17</v>
          </cell>
        </row>
        <row r="10">
          <cell r="H10">
            <v>4151571.42</v>
          </cell>
        </row>
        <row r="11">
          <cell r="H11">
            <v>50500000</v>
          </cell>
        </row>
        <row r="12">
          <cell r="H12">
            <v>1334529.45</v>
          </cell>
        </row>
        <row r="13">
          <cell r="H13">
            <v>93609059.099999994</v>
          </cell>
        </row>
        <row r="14">
          <cell r="H14">
            <v>736457.69</v>
          </cell>
        </row>
        <row r="15">
          <cell r="H15">
            <v>63891.21</v>
          </cell>
        </row>
        <row r="16">
          <cell r="H16">
            <v>19330.53</v>
          </cell>
        </row>
        <row r="17">
          <cell r="H17">
            <v>794030757.41999996</v>
          </cell>
        </row>
        <row r="18">
          <cell r="H18">
            <v>1914011.19</v>
          </cell>
        </row>
        <row r="39">
          <cell r="H39">
            <v>8851150.4600000009</v>
          </cell>
        </row>
        <row r="40">
          <cell r="H40">
            <v>-3978751.38</v>
          </cell>
        </row>
        <row r="41">
          <cell r="H41">
            <v>606315.75</v>
          </cell>
        </row>
        <row r="42">
          <cell r="H42">
            <v>-532605.94999999995</v>
          </cell>
        </row>
        <row r="43">
          <cell r="H43">
            <v>1724087.61</v>
          </cell>
        </row>
        <row r="44">
          <cell r="H44">
            <v>-1640206.31</v>
          </cell>
        </row>
        <row r="45">
          <cell r="H45">
            <v>544403</v>
          </cell>
        </row>
        <row r="46">
          <cell r="H46">
            <v>-148075.82999999999</v>
          </cell>
        </row>
        <row r="47">
          <cell r="H47">
            <v>45901.81</v>
          </cell>
        </row>
        <row r="48">
          <cell r="H48">
            <v>-45901.81</v>
          </cell>
        </row>
        <row r="49">
          <cell r="H49">
            <v>3995648.22</v>
          </cell>
        </row>
        <row r="50">
          <cell r="H50">
            <v>-2031495.41</v>
          </cell>
        </row>
        <row r="51">
          <cell r="H51">
            <v>95046.82</v>
          </cell>
        </row>
        <row r="52">
          <cell r="H52">
            <v>-27396.65</v>
          </cell>
        </row>
        <row r="53">
          <cell r="H53">
            <v>23744</v>
          </cell>
        </row>
        <row r="54">
          <cell r="H54">
            <v>-14605.4</v>
          </cell>
        </row>
        <row r="55">
          <cell r="I55">
            <v>687636000</v>
          </cell>
        </row>
        <row r="56">
          <cell r="I56">
            <v>4161194.56</v>
          </cell>
        </row>
        <row r="57">
          <cell r="I57">
            <v>130998.18</v>
          </cell>
        </row>
        <row r="58">
          <cell r="I58">
            <v>48217.73</v>
          </cell>
        </row>
        <row r="59">
          <cell r="I59">
            <v>933267.49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6500.06</v>
          </cell>
        </row>
        <row r="63">
          <cell r="I63">
            <v>54407.81</v>
          </cell>
        </row>
        <row r="64">
          <cell r="I64">
            <v>3311.01</v>
          </cell>
        </row>
        <row r="65">
          <cell r="I65">
            <v>3959.66</v>
          </cell>
        </row>
        <row r="66">
          <cell r="I66">
            <v>4858683.63</v>
          </cell>
        </row>
        <row r="67">
          <cell r="I67">
            <v>74488.81</v>
          </cell>
        </row>
        <row r="71">
          <cell r="I71">
            <v>40746868.530000001</v>
          </cell>
        </row>
        <row r="72">
          <cell r="I72">
            <v>466000000</v>
          </cell>
        </row>
        <row r="73">
          <cell r="I73">
            <v>47189893.07</v>
          </cell>
        </row>
        <row r="74">
          <cell r="I74">
            <v>19317165.010000002</v>
          </cell>
        </row>
      </sheetData>
      <sheetData sheetId="15">
        <row r="5">
          <cell r="H5">
            <v>1216.3399999999999</v>
          </cell>
        </row>
        <row r="6">
          <cell r="H6">
            <v>32858958.699999999</v>
          </cell>
        </row>
        <row r="7">
          <cell r="H7">
            <v>219218700</v>
          </cell>
        </row>
        <row r="8">
          <cell r="H8">
            <v>6557598.2000000002</v>
          </cell>
        </row>
        <row r="9">
          <cell r="H9">
            <v>-3700140.35</v>
          </cell>
        </row>
        <row r="10">
          <cell r="H10">
            <v>3842612.44</v>
          </cell>
        </row>
        <row r="11">
          <cell r="H11">
            <v>48500000</v>
          </cell>
        </row>
        <row r="12">
          <cell r="H12">
            <v>1709417.98</v>
          </cell>
        </row>
        <row r="13">
          <cell r="H13">
            <v>75562873.780000001</v>
          </cell>
        </row>
        <row r="14">
          <cell r="H14">
            <v>847486.62</v>
          </cell>
        </row>
        <row r="15">
          <cell r="H15">
            <v>63890.17</v>
          </cell>
        </row>
        <row r="16">
          <cell r="H16">
            <v>19330.53</v>
          </cell>
        </row>
        <row r="17">
          <cell r="H17">
            <v>849727099.72000003</v>
          </cell>
        </row>
        <row r="18">
          <cell r="H18">
            <v>2047154.5</v>
          </cell>
        </row>
        <row r="38">
          <cell r="H38">
            <v>8851150.4600000009</v>
          </cell>
        </row>
        <row r="39">
          <cell r="H39">
            <v>-4089437.85</v>
          </cell>
        </row>
        <row r="40">
          <cell r="H40">
            <v>610561.39</v>
          </cell>
        </row>
        <row r="41">
          <cell r="H41">
            <v>-539242.55000000005</v>
          </cell>
        </row>
        <row r="42">
          <cell r="H42">
            <v>1724087.61</v>
          </cell>
        </row>
        <row r="43">
          <cell r="H43">
            <v>-1645887.35</v>
          </cell>
        </row>
        <row r="44">
          <cell r="H44">
            <v>544403</v>
          </cell>
        </row>
        <row r="45">
          <cell r="H45">
            <v>-166413.9</v>
          </cell>
        </row>
        <row r="46">
          <cell r="H46">
            <v>45901.81</v>
          </cell>
        </row>
        <row r="47">
          <cell r="H47">
            <v>-45901.81</v>
          </cell>
        </row>
        <row r="48">
          <cell r="H48">
            <v>3995648.22</v>
          </cell>
        </row>
        <row r="49">
          <cell r="H49">
            <v>-2139069.2000000002</v>
          </cell>
        </row>
        <row r="50">
          <cell r="H50">
            <v>95046.82</v>
          </cell>
        </row>
        <row r="51">
          <cell r="H51">
            <v>-30552.799999999999</v>
          </cell>
        </row>
        <row r="52">
          <cell r="H52">
            <v>23744</v>
          </cell>
        </row>
        <row r="53">
          <cell r="H53">
            <v>-14782.4</v>
          </cell>
        </row>
        <row r="54">
          <cell r="I54">
            <v>660785000</v>
          </cell>
        </row>
        <row r="55">
          <cell r="I55">
            <v>3493212.53</v>
          </cell>
        </row>
        <row r="56">
          <cell r="I56">
            <v>95570.25</v>
          </cell>
        </row>
        <row r="57">
          <cell r="I57">
            <v>908658.74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6890.29</v>
          </cell>
        </row>
        <row r="61">
          <cell r="I61">
            <v>1479.69</v>
          </cell>
        </row>
        <row r="62">
          <cell r="I62">
            <v>34111.9</v>
          </cell>
        </row>
        <row r="63">
          <cell r="I63">
            <v>0</v>
          </cell>
        </row>
        <row r="64">
          <cell r="I64">
            <v>59127.32</v>
          </cell>
        </row>
        <row r="65">
          <cell r="I65">
            <v>4748271.12</v>
          </cell>
        </row>
        <row r="66">
          <cell r="I66">
            <v>165823.9</v>
          </cell>
        </row>
        <row r="69">
          <cell r="I69">
            <v>20077446.370000001</v>
          </cell>
        </row>
        <row r="70">
          <cell r="I70">
            <v>486000000</v>
          </cell>
        </row>
        <row r="71">
          <cell r="I71">
            <v>47189893.07</v>
          </cell>
        </row>
        <row r="72">
          <cell r="I72">
            <v>19402800.25</v>
          </cell>
        </row>
        <row r="73">
          <cell r="I73">
            <v>6499367.5999999996</v>
          </cell>
        </row>
      </sheetData>
      <sheetData sheetId="16">
        <row r="5">
          <cell r="H5">
            <v>1859.9</v>
          </cell>
        </row>
        <row r="6">
          <cell r="H6">
            <v>751782.45</v>
          </cell>
        </row>
        <row r="7">
          <cell r="H7">
            <v>216199400</v>
          </cell>
        </row>
        <row r="8">
          <cell r="H8">
            <v>5833400.8700000001</v>
          </cell>
        </row>
        <row r="9">
          <cell r="H9">
            <v>-3579065.47</v>
          </cell>
        </row>
        <row r="10">
          <cell r="H10">
            <v>3047424.49</v>
          </cell>
        </row>
        <row r="11">
          <cell r="H11">
            <v>37500000</v>
          </cell>
        </row>
        <row r="12">
          <cell r="H12">
            <v>1373334.2</v>
          </cell>
        </row>
        <row r="13">
          <cell r="H13">
            <v>60374270.579999998</v>
          </cell>
        </row>
        <row r="14">
          <cell r="H14">
            <v>565125.73</v>
          </cell>
        </row>
        <row r="15">
          <cell r="H15">
            <v>798755.65</v>
          </cell>
        </row>
        <row r="16">
          <cell r="H16">
            <v>23211.1</v>
          </cell>
        </row>
        <row r="17">
          <cell r="H17">
            <v>894113871.00999999</v>
          </cell>
        </row>
        <row r="18">
          <cell r="H18">
            <v>72866.09</v>
          </cell>
        </row>
        <row r="37">
          <cell r="H37">
            <v>8851150.4600000009</v>
          </cell>
        </row>
        <row r="38">
          <cell r="H38">
            <v>-4200124.32</v>
          </cell>
        </row>
        <row r="39">
          <cell r="H39">
            <v>638096.63</v>
          </cell>
        </row>
        <row r="40">
          <cell r="H40">
            <v>-546742.35</v>
          </cell>
        </row>
        <row r="41">
          <cell r="H41">
            <v>1724087.61</v>
          </cell>
        </row>
        <row r="42">
          <cell r="H42">
            <v>-1652230.95</v>
          </cell>
        </row>
        <row r="43">
          <cell r="H43">
            <v>544403</v>
          </cell>
        </row>
        <row r="44">
          <cell r="H44">
            <v>-184751.97</v>
          </cell>
        </row>
        <row r="45">
          <cell r="H45">
            <v>46271.81</v>
          </cell>
        </row>
        <row r="46">
          <cell r="H46">
            <v>-45915.79</v>
          </cell>
        </row>
        <row r="47">
          <cell r="H47">
            <v>6775728.2199999997</v>
          </cell>
        </row>
        <row r="48">
          <cell r="H48">
            <v>-2307749.61</v>
          </cell>
        </row>
        <row r="49">
          <cell r="H49">
            <v>95046.82</v>
          </cell>
        </row>
        <row r="50">
          <cell r="H50">
            <v>-33425.620000000003</v>
          </cell>
        </row>
        <row r="51">
          <cell r="H51">
            <v>23744</v>
          </cell>
        </row>
        <row r="52">
          <cell r="H52">
            <v>-14782.4</v>
          </cell>
        </row>
        <row r="53">
          <cell r="I53">
            <v>658661001.5</v>
          </cell>
        </row>
        <row r="54">
          <cell r="I54">
            <v>4848447.6900000004</v>
          </cell>
        </row>
        <row r="55">
          <cell r="I55">
            <v>91332.46</v>
          </cell>
        </row>
        <row r="56">
          <cell r="I56">
            <v>1405598.43</v>
          </cell>
        </row>
        <row r="57">
          <cell r="I57">
            <v>0</v>
          </cell>
        </row>
        <row r="58">
          <cell r="I58">
            <v>14938.31</v>
          </cell>
        </row>
        <row r="59">
          <cell r="I59">
            <v>33074.730000000003</v>
          </cell>
        </row>
        <row r="60">
          <cell r="I60">
            <v>52454.98</v>
          </cell>
        </row>
        <row r="61">
          <cell r="I61">
            <v>4637858.95</v>
          </cell>
        </row>
        <row r="62">
          <cell r="I62">
            <v>280316.90999999997</v>
          </cell>
        </row>
        <row r="66">
          <cell r="I66">
            <v>19110319.629999999</v>
          </cell>
        </row>
        <row r="67">
          <cell r="I67">
            <v>526000000</v>
          </cell>
        </row>
        <row r="68">
          <cell r="I68">
            <v>67098864.659999996</v>
          </cell>
        </row>
        <row r="69">
          <cell r="I69">
            <v>11724180.17</v>
          </cell>
        </row>
      </sheetData>
      <sheetData sheetId="17">
        <row r="5">
          <cell r="G5">
            <v>1885.9</v>
          </cell>
        </row>
        <row r="6">
          <cell r="G6">
            <v>31179453.09</v>
          </cell>
        </row>
        <row r="7">
          <cell r="G7">
            <v>28706800</v>
          </cell>
        </row>
        <row r="8">
          <cell r="G8">
            <v>421764.06</v>
          </cell>
        </row>
        <row r="9">
          <cell r="G9">
            <v>-36190.46</v>
          </cell>
        </row>
        <row r="10">
          <cell r="G10">
            <v>595697.73</v>
          </cell>
        </row>
        <row r="11">
          <cell r="G11">
            <v>30942636.579999998</v>
          </cell>
        </row>
        <row r="12">
          <cell r="G12">
            <v>1684448.97</v>
          </cell>
        </row>
        <row r="13">
          <cell r="G13">
            <v>33925441.920000002</v>
          </cell>
        </row>
        <row r="14">
          <cell r="G14">
            <v>421394.24</v>
          </cell>
        </row>
        <row r="15">
          <cell r="G15">
            <v>223233.6</v>
          </cell>
        </row>
        <row r="16">
          <cell r="G16">
            <v>19967.830000000002</v>
          </cell>
        </row>
        <row r="17">
          <cell r="G17">
            <v>926710522.37</v>
          </cell>
        </row>
        <row r="18">
          <cell r="G18">
            <v>2228426.4500000002</v>
          </cell>
        </row>
        <row r="35">
          <cell r="G35">
            <v>8851150.4600000009</v>
          </cell>
        </row>
        <row r="36">
          <cell r="G36">
            <v>-4310810.79</v>
          </cell>
        </row>
        <row r="37">
          <cell r="G37">
            <v>659669.82999999996</v>
          </cell>
        </row>
        <row r="38">
          <cell r="G38">
            <v>-555562.88</v>
          </cell>
        </row>
        <row r="39">
          <cell r="G39">
            <v>1743182.37</v>
          </cell>
        </row>
        <row r="40">
          <cell r="G40">
            <v>-1658242.66</v>
          </cell>
        </row>
        <row r="41">
          <cell r="G41">
            <v>544403</v>
          </cell>
        </row>
        <row r="42">
          <cell r="G42">
            <v>-203090.04</v>
          </cell>
        </row>
        <row r="43">
          <cell r="G43">
            <v>46271.81</v>
          </cell>
        </row>
        <row r="44">
          <cell r="G44">
            <v>-45934.3</v>
          </cell>
        </row>
        <row r="45">
          <cell r="G45">
            <v>11504044.460000001</v>
          </cell>
        </row>
        <row r="46">
          <cell r="G46">
            <v>-2598054.08</v>
          </cell>
        </row>
        <row r="47">
          <cell r="G47">
            <v>95046.82</v>
          </cell>
        </row>
        <row r="48">
          <cell r="G48">
            <v>-36206.769999999997</v>
          </cell>
        </row>
        <row r="49">
          <cell r="G49">
            <v>23744</v>
          </cell>
        </row>
        <row r="50">
          <cell r="G50">
            <v>-14782.4</v>
          </cell>
        </row>
        <row r="51">
          <cell r="H51">
            <v>510337001.5</v>
          </cell>
        </row>
        <row r="52">
          <cell r="H52">
            <v>3102469.16</v>
          </cell>
        </row>
        <row r="53">
          <cell r="H53">
            <v>375823.83</v>
          </cell>
        </row>
        <row r="54">
          <cell r="H54">
            <v>1004617.99</v>
          </cell>
        </row>
        <row r="55">
          <cell r="H55">
            <v>0</v>
          </cell>
        </row>
        <row r="56">
          <cell r="H56">
            <v>7633.05</v>
          </cell>
        </row>
        <row r="57">
          <cell r="H57">
            <v>32887.919999999998</v>
          </cell>
        </row>
        <row r="58">
          <cell r="H58">
            <v>53843.19</v>
          </cell>
        </row>
        <row r="59">
          <cell r="H59">
            <v>4527446.78</v>
          </cell>
        </row>
        <row r="60">
          <cell r="H60">
            <v>343292.22</v>
          </cell>
        </row>
        <row r="61">
          <cell r="H61">
            <v>18605853.100000001</v>
          </cell>
        </row>
        <row r="62">
          <cell r="H62">
            <v>566000000</v>
          </cell>
        </row>
        <row r="63">
          <cell r="H63">
            <v>67098864.659999996</v>
          </cell>
        </row>
        <row r="64">
          <cell r="H64">
            <v>40544.42</v>
          </cell>
        </row>
        <row r="65">
          <cell r="H65">
            <v>16967004.780000001</v>
          </cell>
        </row>
        <row r="90">
          <cell r="G90">
            <v>1188497282.5999994</v>
          </cell>
        </row>
      </sheetData>
      <sheetData sheetId="18">
        <row r="5">
          <cell r="I5">
            <v>1312.9</v>
          </cell>
        </row>
        <row r="6">
          <cell r="I6">
            <v>136225191.25999999</v>
          </cell>
        </row>
        <row r="7">
          <cell r="I7">
            <v>28706800</v>
          </cell>
        </row>
        <row r="8">
          <cell r="I8">
            <v>868377.15</v>
          </cell>
        </row>
        <row r="9">
          <cell r="I9">
            <v>-33075.81</v>
          </cell>
        </row>
        <row r="10">
          <cell r="I10">
            <v>595697.73</v>
          </cell>
        </row>
        <row r="11">
          <cell r="I11">
            <v>23000000</v>
          </cell>
        </row>
        <row r="12">
          <cell r="I12">
            <v>1146680.96</v>
          </cell>
        </row>
        <row r="13">
          <cell r="I13">
            <v>50718679.119999997</v>
          </cell>
        </row>
        <row r="14">
          <cell r="I14">
            <v>354490.02</v>
          </cell>
        </row>
        <row r="15">
          <cell r="I15">
            <v>155590.17000000001</v>
          </cell>
        </row>
        <row r="16">
          <cell r="I16">
            <v>19848.96</v>
          </cell>
        </row>
        <row r="17">
          <cell r="I17">
            <v>949137363.26999998</v>
          </cell>
        </row>
        <row r="18">
          <cell r="I18">
            <v>2293138.9900000002</v>
          </cell>
        </row>
        <row r="19">
          <cell r="O19">
            <v>4600572.25</v>
          </cell>
        </row>
        <row r="21">
          <cell r="I21">
            <v>7255.22</v>
          </cell>
        </row>
        <row r="22">
          <cell r="I22">
            <v>336649.16</v>
          </cell>
        </row>
        <row r="24">
          <cell r="I24">
            <v>7197.45</v>
          </cell>
        </row>
        <row r="25">
          <cell r="I25">
            <v>1.31</v>
          </cell>
        </row>
        <row r="26">
          <cell r="I26">
            <v>124586710.38</v>
          </cell>
        </row>
        <row r="27">
          <cell r="I27">
            <v>14706.96</v>
          </cell>
        </row>
        <row r="28">
          <cell r="I28">
            <v>6500</v>
          </cell>
        </row>
        <row r="29">
          <cell r="I29">
            <v>76058278.450000003</v>
          </cell>
        </row>
        <row r="30">
          <cell r="I30">
            <v>7787.66</v>
          </cell>
        </row>
        <row r="31">
          <cell r="I31">
            <v>185427.77</v>
          </cell>
        </row>
        <row r="32">
          <cell r="I32">
            <v>8851150.4600000009</v>
          </cell>
        </row>
        <row r="33">
          <cell r="I33">
            <v>-4421497.26</v>
          </cell>
        </row>
        <row r="34">
          <cell r="I34">
            <v>659669.82999999996</v>
          </cell>
        </row>
        <row r="35">
          <cell r="I35">
            <v>-563947.52000000002</v>
          </cell>
        </row>
        <row r="36">
          <cell r="I36">
            <v>1821245.27</v>
          </cell>
        </row>
        <row r="37">
          <cell r="I37">
            <v>-1668008.21</v>
          </cell>
        </row>
        <row r="38">
          <cell r="I38">
            <v>544403</v>
          </cell>
        </row>
        <row r="39">
          <cell r="I39">
            <v>-221428.11</v>
          </cell>
        </row>
        <row r="40">
          <cell r="I40">
            <v>46691.81</v>
          </cell>
        </row>
        <row r="41">
          <cell r="I41">
            <v>-45953.98</v>
          </cell>
        </row>
        <row r="42">
          <cell r="I42">
            <v>14494044.460000001</v>
          </cell>
        </row>
        <row r="43">
          <cell r="I43">
            <v>-2894530.01</v>
          </cell>
        </row>
        <row r="44">
          <cell r="I44">
            <v>103316.26</v>
          </cell>
        </row>
        <row r="45">
          <cell r="I45">
            <v>-39302.629999999997</v>
          </cell>
        </row>
        <row r="46">
          <cell r="I46">
            <v>23807.8</v>
          </cell>
        </row>
        <row r="47">
          <cell r="I47">
            <v>-14785.15</v>
          </cell>
        </row>
        <row r="48">
          <cell r="J48">
            <v>723878001.5</v>
          </cell>
        </row>
        <row r="49">
          <cell r="J49">
            <v>4566638.8499999996</v>
          </cell>
        </row>
        <row r="50">
          <cell r="J50">
            <v>257895.65</v>
          </cell>
        </row>
        <row r="51">
          <cell r="J51">
            <v>1125890.3799999999</v>
          </cell>
        </row>
        <row r="53">
          <cell r="J53">
            <v>6082.64</v>
          </cell>
        </row>
        <row r="54">
          <cell r="J54">
            <v>116983.8</v>
          </cell>
        </row>
        <row r="55">
          <cell r="J55">
            <v>7858.48</v>
          </cell>
        </row>
        <row r="56">
          <cell r="J56">
            <v>71676.649999999994</v>
          </cell>
        </row>
        <row r="57">
          <cell r="J57">
            <v>77604.22</v>
          </cell>
        </row>
        <row r="58">
          <cell r="J58">
            <v>4417034.78</v>
          </cell>
        </row>
        <row r="59">
          <cell r="J59">
            <v>475055.76</v>
          </cell>
        </row>
        <row r="60">
          <cell r="J60">
            <v>1764471.49</v>
          </cell>
        </row>
        <row r="61">
          <cell r="J61">
            <v>17613199.680000003</v>
          </cell>
        </row>
        <row r="62">
          <cell r="J62">
            <v>566000000</v>
          </cell>
        </row>
        <row r="63">
          <cell r="J63">
            <v>67098864.659999996</v>
          </cell>
        </row>
        <row r="64">
          <cell r="J64">
            <v>18681790.890000001</v>
          </cell>
        </row>
      </sheetData>
      <sheetData sheetId="19">
        <row r="5">
          <cell r="I5">
            <v>1312.9</v>
          </cell>
        </row>
        <row r="6">
          <cell r="I6">
            <v>10422726.68</v>
          </cell>
        </row>
        <row r="7">
          <cell r="I7">
            <v>28706800</v>
          </cell>
        </row>
        <row r="8">
          <cell r="I8">
            <v>428633.4</v>
          </cell>
        </row>
        <row r="9">
          <cell r="I9">
            <v>-15004.25</v>
          </cell>
        </row>
        <row r="10">
          <cell r="I10">
            <v>383654</v>
          </cell>
        </row>
        <row r="11">
          <cell r="I11">
            <v>32000000</v>
          </cell>
        </row>
        <row r="12">
          <cell r="I12">
            <v>1244181.1100000001</v>
          </cell>
        </row>
        <row r="13">
          <cell r="I13">
            <v>73541975.019999996</v>
          </cell>
        </row>
        <row r="14">
          <cell r="I14">
            <v>687529.88</v>
          </cell>
        </row>
        <row r="15">
          <cell r="I15">
            <v>343623.72</v>
          </cell>
        </row>
        <row r="16">
          <cell r="I16">
            <v>19822.740000000002</v>
          </cell>
        </row>
        <row r="17">
          <cell r="I17">
            <v>944135264.65999997</v>
          </cell>
        </row>
        <row r="18">
          <cell r="I18">
            <v>2376488.12</v>
          </cell>
        </row>
        <row r="19">
          <cell r="J19">
            <v>4752373.7700000005</v>
          </cell>
        </row>
        <row r="20">
          <cell r="J20">
            <v>360863.42</v>
          </cell>
        </row>
        <row r="23">
          <cell r="I23">
            <v>5125.3100000000004</v>
          </cell>
        </row>
        <row r="24">
          <cell r="I24">
            <v>422699.98</v>
          </cell>
        </row>
        <row r="25">
          <cell r="I25">
            <v>4563.4799999999996</v>
          </cell>
        </row>
        <row r="26">
          <cell r="I26">
            <v>1.31</v>
          </cell>
        </row>
        <row r="27">
          <cell r="I27">
            <v>112463010.68000001</v>
          </cell>
        </row>
        <row r="28">
          <cell r="I28">
            <v>22677.46</v>
          </cell>
        </row>
        <row r="29">
          <cell r="I29">
            <v>83350527.159999996</v>
          </cell>
        </row>
        <row r="30">
          <cell r="I30">
            <v>3279.17</v>
          </cell>
        </row>
        <row r="33">
          <cell r="I33">
            <v>9932543.6199999992</v>
          </cell>
        </row>
        <row r="34">
          <cell r="I34">
            <v>8851150.4600000009</v>
          </cell>
        </row>
        <row r="35">
          <cell r="I35">
            <v>-4532183.7300000004</v>
          </cell>
        </row>
        <row r="36">
          <cell r="I36">
            <v>659669.82999999996</v>
          </cell>
        </row>
        <row r="37">
          <cell r="I37">
            <v>-572264.93000000005</v>
          </cell>
        </row>
        <row r="38">
          <cell r="I38">
            <v>1822754.49</v>
          </cell>
        </row>
        <row r="39">
          <cell r="I39">
            <v>-1680025.37</v>
          </cell>
        </row>
        <row r="40">
          <cell r="I40">
            <v>544403</v>
          </cell>
        </row>
        <row r="41">
          <cell r="I41">
            <v>-239766.18</v>
          </cell>
        </row>
        <row r="42">
          <cell r="I42">
            <v>46691.81</v>
          </cell>
        </row>
        <row r="43">
          <cell r="I43">
            <v>-45993.49</v>
          </cell>
        </row>
        <row r="44">
          <cell r="I44">
            <v>14494044.460000001</v>
          </cell>
        </row>
        <row r="45">
          <cell r="I45">
            <v>-3264947.98</v>
          </cell>
        </row>
        <row r="46">
          <cell r="I46">
            <v>103316.26</v>
          </cell>
        </row>
        <row r="47">
          <cell r="I47">
            <v>-42342.14</v>
          </cell>
        </row>
        <row r="48">
          <cell r="I48">
            <v>23951.8</v>
          </cell>
        </row>
        <row r="49">
          <cell r="I49">
            <v>-14804.59</v>
          </cell>
        </row>
        <row r="50">
          <cell r="J50">
            <v>617856001.5</v>
          </cell>
        </row>
        <row r="51">
          <cell r="J51">
            <v>4000492.78</v>
          </cell>
        </row>
        <row r="52">
          <cell r="J52">
            <v>264960.44</v>
          </cell>
        </row>
        <row r="53">
          <cell r="J53">
            <v>1482645.84</v>
          </cell>
        </row>
        <row r="54">
          <cell r="J54">
            <v>6082.64</v>
          </cell>
        </row>
        <row r="55">
          <cell r="J55">
            <v>10237.030000000001</v>
          </cell>
        </row>
        <row r="56">
          <cell r="J56">
            <v>53943.13</v>
          </cell>
        </row>
        <row r="57">
          <cell r="J57">
            <v>83516.2</v>
          </cell>
        </row>
        <row r="58">
          <cell r="J58">
            <v>4343426.78</v>
          </cell>
        </row>
        <row r="59">
          <cell r="J59">
            <v>2667524.15</v>
          </cell>
        </row>
        <row r="62">
          <cell r="J62">
            <v>34146783.039999999</v>
          </cell>
        </row>
        <row r="63">
          <cell r="J63">
            <v>46296.49</v>
          </cell>
        </row>
        <row r="65">
          <cell r="J65">
            <v>67098864.659999996</v>
          </cell>
        </row>
        <row r="66">
          <cell r="J66">
            <v>18694850</v>
          </cell>
        </row>
        <row r="67">
          <cell r="J67">
            <v>1400739</v>
          </cell>
        </row>
      </sheetData>
      <sheetData sheetId="20">
        <row r="5">
          <cell r="H5">
            <v>1285.4000000000001</v>
          </cell>
        </row>
        <row r="6">
          <cell r="H6">
            <v>1212767.93</v>
          </cell>
        </row>
        <row r="7">
          <cell r="H7">
            <v>128341500</v>
          </cell>
        </row>
        <row r="8">
          <cell r="H8">
            <v>1822621.93</v>
          </cell>
        </row>
        <row r="9">
          <cell r="H9">
            <v>-3484192.89</v>
          </cell>
        </row>
        <row r="10">
          <cell r="H10">
            <v>490493.26</v>
          </cell>
        </row>
        <row r="11">
          <cell r="H11">
            <v>36000000</v>
          </cell>
        </row>
        <row r="12">
          <cell r="H12">
            <v>1522374.77</v>
          </cell>
        </row>
        <row r="13">
          <cell r="H13">
            <v>100056910.22</v>
          </cell>
        </row>
        <row r="14">
          <cell r="H14">
            <v>1380086.47</v>
          </cell>
        </row>
        <row r="15">
          <cell r="H15">
            <v>263990.17</v>
          </cell>
        </row>
        <row r="16">
          <cell r="H16">
            <v>19881.48</v>
          </cell>
        </row>
        <row r="17">
          <cell r="H17">
            <v>940360338.96000004</v>
          </cell>
        </row>
        <row r="18">
          <cell r="H18">
            <v>2248326.4500000002</v>
          </cell>
        </row>
        <row r="19">
          <cell r="I19">
            <v>5988374.6299999999</v>
          </cell>
        </row>
        <row r="20">
          <cell r="I20">
            <v>360863.42</v>
          </cell>
        </row>
        <row r="21">
          <cell r="H21">
            <v>21338201.559999999</v>
          </cell>
        </row>
        <row r="22">
          <cell r="H22">
            <v>10897288.210000001</v>
          </cell>
        </row>
        <row r="23">
          <cell r="H23">
            <v>5522.81</v>
          </cell>
        </row>
        <row r="24">
          <cell r="H24">
            <v>6001.32</v>
          </cell>
        </row>
        <row r="25">
          <cell r="H25">
            <v>3495.32</v>
          </cell>
        </row>
        <row r="26">
          <cell r="H26">
            <v>1124271.6599999999</v>
          </cell>
        </row>
        <row r="27">
          <cell r="H27">
            <v>2.5</v>
          </cell>
        </row>
        <row r="28">
          <cell r="H28">
            <v>17574.900000000001</v>
          </cell>
        </row>
        <row r="29">
          <cell r="H29">
            <v>325.14</v>
          </cell>
        </row>
        <row r="30">
          <cell r="H30">
            <v>346.34</v>
          </cell>
        </row>
        <row r="31">
          <cell r="H31">
            <v>106232409.95999999</v>
          </cell>
        </row>
        <row r="32">
          <cell r="H32">
            <v>24981.62</v>
          </cell>
        </row>
        <row r="33">
          <cell r="H33">
            <v>73924496.409999996</v>
          </cell>
        </row>
        <row r="34">
          <cell r="H34">
            <v>6610.65</v>
          </cell>
        </row>
        <row r="37">
          <cell r="H37">
            <v>59920552.880000003</v>
          </cell>
        </row>
        <row r="38">
          <cell r="H38">
            <v>8851150.4600000009</v>
          </cell>
        </row>
        <row r="39">
          <cell r="H39">
            <v>-4642870.2</v>
          </cell>
        </row>
        <row r="40">
          <cell r="H40">
            <v>661540.91</v>
          </cell>
        </row>
        <row r="41">
          <cell r="H41">
            <v>-580597.93000000005</v>
          </cell>
        </row>
        <row r="42">
          <cell r="H42">
            <v>1835577.09</v>
          </cell>
        </row>
        <row r="43">
          <cell r="H43">
            <v>-1692225.67</v>
          </cell>
        </row>
        <row r="44">
          <cell r="H44">
            <v>544403</v>
          </cell>
        </row>
        <row r="45">
          <cell r="H45">
            <v>-258104.25</v>
          </cell>
        </row>
        <row r="46">
          <cell r="H46">
            <v>46691.81</v>
          </cell>
        </row>
        <row r="47">
          <cell r="H47">
            <v>-46033</v>
          </cell>
        </row>
        <row r="48">
          <cell r="H48">
            <v>14494044.460000001</v>
          </cell>
        </row>
        <row r="49">
          <cell r="H49">
            <v>-3635010.91</v>
          </cell>
        </row>
        <row r="50">
          <cell r="H50">
            <v>103316.26</v>
          </cell>
        </row>
        <row r="51">
          <cell r="H51">
            <v>-45381.65</v>
          </cell>
        </row>
        <row r="52">
          <cell r="H52">
            <v>23951.8</v>
          </cell>
        </row>
        <row r="53">
          <cell r="H53">
            <v>-14825.89</v>
          </cell>
        </row>
        <row r="54">
          <cell r="I54">
            <v>721644001.5</v>
          </cell>
        </row>
        <row r="55">
          <cell r="I55">
            <v>5652972.2300000004</v>
          </cell>
        </row>
        <row r="56">
          <cell r="I56">
            <v>398182.51</v>
          </cell>
        </row>
        <row r="57">
          <cell r="I57">
            <v>2393219.0699999998</v>
          </cell>
        </row>
        <row r="58">
          <cell r="I58">
            <v>0</v>
          </cell>
        </row>
        <row r="59">
          <cell r="I59">
            <v>6082.64</v>
          </cell>
        </row>
        <row r="60">
          <cell r="I60">
            <v>15859.8</v>
          </cell>
        </row>
        <row r="61">
          <cell r="I61">
            <v>43315.33</v>
          </cell>
        </row>
        <row r="62">
          <cell r="I62">
            <v>70151.11</v>
          </cell>
        </row>
        <row r="63">
          <cell r="I63">
            <v>4196210.78</v>
          </cell>
        </row>
        <row r="64">
          <cell r="I64">
            <v>12372913.68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91263375.650000006</v>
          </cell>
        </row>
        <row r="68">
          <cell r="I68">
            <v>787850.19</v>
          </cell>
        </row>
        <row r="69">
          <cell r="I69">
            <v>566000000</v>
          </cell>
        </row>
        <row r="70">
          <cell r="I70">
            <v>85834259.079999998</v>
          </cell>
        </row>
        <row r="71">
          <cell r="I71">
            <v>3144310.29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1">
          <cell r="C21">
            <v>1276581287.8900001</v>
          </cell>
        </row>
      </sheetData>
      <sheetData sheetId="39">
        <row r="21">
          <cell r="C21">
            <v>1255152277.53</v>
          </cell>
        </row>
      </sheetData>
      <sheetData sheetId="40">
        <row r="22">
          <cell r="C22">
            <v>1298866399.8900001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üvafiq maliyyə hesabatları"/>
      <sheetName val="Key performance Indicators  (3)"/>
      <sheetName val="Mənfəət və zərər (2)"/>
      <sheetName val="Ratio analizi"/>
      <sheetName val="Trend analizi"/>
      <sheetName val="Trend analysis"/>
      <sheetName val="Reference"/>
      <sheetName val="Key performance Indicators (2)"/>
      <sheetName val="balance sheet"/>
      <sheetName val="Trend təhlillər"/>
      <sheetName val="Əsas maliyyə göstəriciləri"/>
      <sheetName val="Balans hesabatı 30.12.2019"/>
      <sheetName val="Mənfəət və zərər"/>
      <sheetName val="1230_30.12.2019"/>
      <sheetName val="P&amp;L4rub"/>
      <sheetName val="1230 BALANCE"/>
      <sheetName val="1230_31.03.2020"/>
      <sheetName val="1225_31.03.2020"/>
      <sheetName val=" maliyyə göstəriciləri"/>
      <sheetName val="1225(iyun2017)"/>
      <sheetName val="P&amp;L 3rub"/>
      <sheetName val="1230(iyun2019)"/>
      <sheetName val="1230(dekabr2018)"/>
      <sheetName val="1230(mart2019)"/>
      <sheetName val="1225(dekabr2018)"/>
      <sheetName val="1225(mart2019)"/>
      <sheetName val="1225(iyun2019)"/>
      <sheetName val="1225(sentyabr2019)"/>
      <sheetName val="1225(dekabr2019)"/>
      <sheetName val="1265(dekabr2018)"/>
      <sheetName val="1265(mart2019)"/>
      <sheetName val="1265(iyun2019)"/>
      <sheetName val="1265(sentyabr2019)"/>
      <sheetName val="1265(dekabr2019)"/>
      <sheetName val="Balans hesabatı 30.09.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1">
          <cell r="I21">
            <v>4665491.1100000003</v>
          </cell>
        </row>
        <row r="22">
          <cell r="I22">
            <v>1922723.42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71FAE-86F6-45FC-BF63-789FFAED8243}">
  <sheetPr>
    <tabColor rgb="FF92D050"/>
    <pageSetUpPr fitToPage="1"/>
  </sheetPr>
  <dimension ref="A5:BB71"/>
  <sheetViews>
    <sheetView showGridLines="0" tabSelected="1" topLeftCell="B1" zoomScaleNormal="100" workbookViewId="0">
      <pane xSplit="1" topLeftCell="AJ1" activePane="topRight" state="frozen"/>
      <selection activeCell="B1" sqref="B1"/>
      <selection pane="topRight" activeCell="BA14" sqref="BA14"/>
    </sheetView>
  </sheetViews>
  <sheetFormatPr defaultColWidth="9.140625" defaultRowHeight="15" x14ac:dyDescent="0.25"/>
  <cols>
    <col min="1" max="1" width="0" style="1" hidden="1" customWidth="1"/>
    <col min="2" max="2" width="54.85546875" style="1" bestFit="1" customWidth="1"/>
    <col min="3" max="3" width="20.85546875" style="1" bestFit="1" customWidth="1"/>
    <col min="4" max="4" width="8.7109375" style="1" bestFit="1" customWidth="1"/>
    <col min="5" max="5" width="20.85546875" style="1" bestFit="1" customWidth="1"/>
    <col min="6" max="6" width="8.7109375" style="1" bestFit="1" customWidth="1"/>
    <col min="7" max="7" width="22.7109375" style="1" bestFit="1" customWidth="1"/>
    <col min="8" max="8" width="8.7109375" style="1" bestFit="1" customWidth="1"/>
    <col min="9" max="9" width="22.7109375" style="1" bestFit="1" customWidth="1"/>
    <col min="10" max="10" width="8.7109375" style="1" bestFit="1" customWidth="1"/>
    <col min="11" max="11" width="22.7109375" style="1" bestFit="1" customWidth="1"/>
    <col min="12" max="12" width="8.7109375" style="1" bestFit="1" customWidth="1"/>
    <col min="13" max="13" width="22.7109375" style="1" bestFit="1" customWidth="1"/>
    <col min="14" max="14" width="8.7109375" style="1" bestFit="1" customWidth="1"/>
    <col min="15" max="15" width="22.7109375" style="1" bestFit="1" customWidth="1"/>
    <col min="16" max="16" width="9.5703125" style="1" bestFit="1" customWidth="1"/>
    <col min="17" max="17" width="22.7109375" style="1" bestFit="1" customWidth="1"/>
    <col min="18" max="18" width="10" style="1" bestFit="1" customWidth="1"/>
    <col min="19" max="19" width="20.85546875" style="1" bestFit="1" customWidth="1"/>
    <col min="20" max="20" width="8.7109375" style="1" bestFit="1" customWidth="1"/>
    <col min="21" max="21" width="20.85546875" style="1" bestFit="1" customWidth="1"/>
    <col min="22" max="22" width="8.7109375" style="1" bestFit="1" customWidth="1"/>
    <col min="23" max="23" width="20.85546875" style="1" bestFit="1" customWidth="1"/>
    <col min="24" max="24" width="8.7109375" style="1" bestFit="1" customWidth="1"/>
    <col min="25" max="25" width="20.85546875" style="1" bestFit="1" customWidth="1"/>
    <col min="26" max="26" width="9.5703125" style="1" bestFit="1" customWidth="1"/>
    <col min="27" max="27" width="22.7109375" style="1" bestFit="1" customWidth="1"/>
    <col min="28" max="28" width="9.5703125" style="1" bestFit="1" customWidth="1"/>
    <col min="29" max="29" width="22.7109375" style="1" hidden="1" customWidth="1"/>
    <col min="30" max="30" width="9.5703125" style="1" hidden="1" customWidth="1"/>
    <col min="31" max="31" width="22.7109375" style="1" hidden="1" customWidth="1"/>
    <col min="32" max="32" width="9.5703125" style="1" hidden="1" customWidth="1"/>
    <col min="33" max="33" width="22.7109375" style="1" hidden="1" customWidth="1"/>
    <col min="34" max="34" width="9.5703125" style="1" hidden="1" customWidth="1"/>
    <col min="35" max="35" width="22.7109375" style="1" bestFit="1" customWidth="1"/>
    <col min="36" max="36" width="9.5703125" style="1" bestFit="1" customWidth="1"/>
    <col min="37" max="37" width="22.7109375" style="1" hidden="1" customWidth="1"/>
    <col min="38" max="38" width="9.5703125" style="1" hidden="1" customWidth="1"/>
    <col min="39" max="39" width="22.7109375" style="1" hidden="1" customWidth="1"/>
    <col min="40" max="40" width="9.5703125" style="1" hidden="1" customWidth="1"/>
    <col min="41" max="41" width="22.7109375" style="1" hidden="1" customWidth="1"/>
    <col min="42" max="42" width="9.5703125" style="1" hidden="1" customWidth="1"/>
    <col min="43" max="43" width="22.7109375" style="1" bestFit="1" customWidth="1"/>
    <col min="44" max="44" width="9.140625" style="1" bestFit="1" customWidth="1"/>
    <col min="45" max="45" width="22.7109375" style="1" bestFit="1" customWidth="1"/>
    <col min="46" max="46" width="9.5703125" style="1" bestFit="1" customWidth="1"/>
    <col min="47" max="47" width="21.140625" style="1" bestFit="1" customWidth="1"/>
    <col min="48" max="48" width="9.140625" style="1"/>
    <col min="49" max="49" width="21.140625" style="1" bestFit="1" customWidth="1"/>
    <col min="50" max="50" width="9.140625" style="1"/>
    <col min="51" max="51" width="21.140625" style="1" bestFit="1" customWidth="1"/>
    <col min="52" max="52" width="9.140625" style="1"/>
    <col min="53" max="53" width="21.140625" style="1" bestFit="1" customWidth="1"/>
    <col min="54" max="16384" width="9.140625" style="1"/>
  </cols>
  <sheetData>
    <row r="5" spans="1:54" x14ac:dyDescent="0.25">
      <c r="A5" s="56"/>
      <c r="B5" s="83" t="s">
        <v>25</v>
      </c>
      <c r="C5" s="82">
        <v>2006</v>
      </c>
      <c r="D5" s="82"/>
      <c r="E5" s="82">
        <v>2007</v>
      </c>
      <c r="F5" s="82"/>
      <c r="G5" s="82">
        <v>2008</v>
      </c>
      <c r="H5" s="82"/>
      <c r="I5" s="82">
        <v>2009</v>
      </c>
      <c r="J5" s="82"/>
      <c r="K5" s="82">
        <v>2010</v>
      </c>
      <c r="L5" s="82"/>
      <c r="M5" s="82">
        <v>2011</v>
      </c>
      <c r="N5" s="82"/>
      <c r="O5" s="82">
        <v>2012</v>
      </c>
      <c r="P5" s="82"/>
      <c r="Q5" s="82">
        <v>2013</v>
      </c>
      <c r="R5" s="82"/>
      <c r="S5" s="82">
        <v>2014</v>
      </c>
      <c r="T5" s="82"/>
      <c r="U5" s="82">
        <v>2015</v>
      </c>
      <c r="V5" s="82"/>
      <c r="W5" s="82">
        <v>2016</v>
      </c>
      <c r="X5" s="82"/>
      <c r="Y5" s="82">
        <v>2017</v>
      </c>
      <c r="Z5" s="82"/>
      <c r="AA5" s="82">
        <v>2018</v>
      </c>
      <c r="AB5" s="82"/>
      <c r="AC5" s="82" t="s">
        <v>24</v>
      </c>
      <c r="AD5" s="82"/>
      <c r="AE5" s="82" t="s">
        <v>23</v>
      </c>
      <c r="AF5" s="82"/>
      <c r="AG5" s="82" t="s">
        <v>22</v>
      </c>
      <c r="AH5" s="82"/>
      <c r="AI5" s="82">
        <v>2019</v>
      </c>
      <c r="AJ5" s="82"/>
      <c r="AK5" s="82" t="s">
        <v>21</v>
      </c>
      <c r="AL5" s="82"/>
      <c r="AM5" s="82" t="s">
        <v>31</v>
      </c>
      <c r="AN5" s="82"/>
      <c r="AO5" s="82" t="s">
        <v>30</v>
      </c>
      <c r="AP5" s="82"/>
      <c r="AQ5" s="82">
        <v>2020</v>
      </c>
      <c r="AR5" s="82"/>
      <c r="AS5" s="82">
        <v>2021</v>
      </c>
      <c r="AT5" s="82"/>
      <c r="AU5" s="82">
        <v>2022</v>
      </c>
      <c r="AV5" s="82"/>
      <c r="AW5" s="82">
        <v>2023</v>
      </c>
      <c r="AX5" s="82"/>
      <c r="AY5" s="82">
        <v>2024</v>
      </c>
      <c r="AZ5" s="82"/>
      <c r="BA5" s="82" t="s">
        <v>29</v>
      </c>
      <c r="BB5" s="82"/>
    </row>
    <row r="6" spans="1:54" x14ac:dyDescent="0.25">
      <c r="A6" s="56"/>
      <c r="B6" s="81" t="s">
        <v>20</v>
      </c>
      <c r="C6" s="46" t="s">
        <v>19</v>
      </c>
      <c r="D6" s="46" t="s">
        <v>18</v>
      </c>
      <c r="E6" s="46" t="s">
        <v>19</v>
      </c>
      <c r="F6" s="46" t="s">
        <v>18</v>
      </c>
      <c r="G6" s="46" t="s">
        <v>19</v>
      </c>
      <c r="H6" s="46" t="s">
        <v>18</v>
      </c>
      <c r="I6" s="46" t="s">
        <v>19</v>
      </c>
      <c r="J6" s="46" t="s">
        <v>18</v>
      </c>
      <c r="K6" s="46" t="s">
        <v>19</v>
      </c>
      <c r="L6" s="46" t="s">
        <v>18</v>
      </c>
      <c r="M6" s="46" t="s">
        <v>19</v>
      </c>
      <c r="N6" s="46" t="s">
        <v>18</v>
      </c>
      <c r="O6" s="46" t="s">
        <v>19</v>
      </c>
      <c r="P6" s="46" t="s">
        <v>18</v>
      </c>
      <c r="Q6" s="46" t="s">
        <v>19</v>
      </c>
      <c r="R6" s="46" t="s">
        <v>18</v>
      </c>
      <c r="S6" s="46" t="s">
        <v>19</v>
      </c>
      <c r="T6" s="46" t="s">
        <v>18</v>
      </c>
      <c r="U6" s="46" t="s">
        <v>19</v>
      </c>
      <c r="V6" s="46" t="s">
        <v>18</v>
      </c>
      <c r="W6" s="46" t="s">
        <v>19</v>
      </c>
      <c r="X6" s="46" t="s">
        <v>18</v>
      </c>
      <c r="Y6" s="46" t="s">
        <v>19</v>
      </c>
      <c r="Z6" s="46" t="s">
        <v>18</v>
      </c>
      <c r="AA6" s="46" t="s">
        <v>19</v>
      </c>
      <c r="AB6" s="46" t="s">
        <v>18</v>
      </c>
      <c r="AC6" s="46" t="s">
        <v>19</v>
      </c>
      <c r="AD6" s="46" t="s">
        <v>18</v>
      </c>
      <c r="AE6" s="46" t="s">
        <v>19</v>
      </c>
      <c r="AF6" s="46" t="s">
        <v>18</v>
      </c>
      <c r="AG6" s="46" t="s">
        <v>19</v>
      </c>
      <c r="AH6" s="46" t="s">
        <v>18</v>
      </c>
      <c r="AI6" s="46" t="s">
        <v>19</v>
      </c>
      <c r="AJ6" s="46" t="s">
        <v>18</v>
      </c>
      <c r="AK6" s="46" t="s">
        <v>19</v>
      </c>
      <c r="AL6" s="46" t="s">
        <v>18</v>
      </c>
      <c r="AM6" s="46" t="s">
        <v>19</v>
      </c>
      <c r="AN6" s="46" t="s">
        <v>18</v>
      </c>
      <c r="AO6" s="46" t="s">
        <v>19</v>
      </c>
      <c r="AP6" s="46" t="s">
        <v>18</v>
      </c>
      <c r="AQ6" s="46" t="s">
        <v>19</v>
      </c>
      <c r="AR6" s="46" t="s">
        <v>18</v>
      </c>
      <c r="AS6" s="46" t="s">
        <v>19</v>
      </c>
      <c r="AT6" s="46" t="s">
        <v>18</v>
      </c>
      <c r="AU6" s="46" t="s">
        <v>19</v>
      </c>
      <c r="AV6" s="46" t="s">
        <v>18</v>
      </c>
      <c r="AW6" s="46" t="s">
        <v>19</v>
      </c>
      <c r="AX6" s="46" t="s">
        <v>18</v>
      </c>
      <c r="AY6" s="46" t="s">
        <v>19</v>
      </c>
      <c r="AZ6" s="46" t="s">
        <v>18</v>
      </c>
      <c r="BA6" s="46" t="s">
        <v>19</v>
      </c>
      <c r="BB6" s="46" t="s">
        <v>18</v>
      </c>
    </row>
    <row r="7" spans="1:54" x14ac:dyDescent="0.25">
      <c r="A7" s="56"/>
      <c r="B7" s="65" t="s">
        <v>17</v>
      </c>
      <c r="C7" s="20">
        <v>24914</v>
      </c>
      <c r="D7" s="62">
        <f>C7/C14</f>
        <v>9.4337607921784225E-4</v>
      </c>
      <c r="E7" s="20">
        <v>682493</v>
      </c>
      <c r="F7" s="62">
        <f>E7/E14</f>
        <v>1.4591553326014606E-2</v>
      </c>
      <c r="G7" s="20">
        <v>872420</v>
      </c>
      <c r="H7" s="62">
        <f>G7/G14</f>
        <v>1.2664531155912323E-2</v>
      </c>
      <c r="I7" s="20">
        <v>1121819</v>
      </c>
      <c r="J7" s="62">
        <f>I7/I14</f>
        <v>8.0864652675944303E-3</v>
      </c>
      <c r="K7" s="20">
        <v>1032557</v>
      </c>
      <c r="L7" s="62">
        <f>K7/K14</f>
        <v>4.2909817888027862E-3</v>
      </c>
      <c r="M7" s="20">
        <v>2232915</v>
      </c>
      <c r="N7" s="62">
        <f>M7/M14</f>
        <v>6.5334491226699482E-3</v>
      </c>
      <c r="O7" s="20">
        <v>1854497</v>
      </c>
      <c r="P7" s="62">
        <f>O7/O14</f>
        <v>4.6234114352070848E-3</v>
      </c>
      <c r="Q7" s="20">
        <v>2968642</v>
      </c>
      <c r="R7" s="62">
        <f>Q7/Q14</f>
        <v>6.0260368568156577E-3</v>
      </c>
      <c r="S7" s="20">
        <v>1448187</v>
      </c>
      <c r="T7" s="62">
        <f>S7/S14</f>
        <v>2.4882049743997115E-3</v>
      </c>
      <c r="U7" s="20">
        <v>2457990.7799999998</v>
      </c>
      <c r="V7" s="62">
        <f>U7/U14</f>
        <v>3.8342622239386603E-3</v>
      </c>
      <c r="W7" s="20">
        <v>9999949.0300000012</v>
      </c>
      <c r="X7" s="62">
        <f>W7/$C$53</f>
        <v>1.4449053266401493E-2</v>
      </c>
      <c r="Y7" s="20">
        <v>7651669</v>
      </c>
      <c r="Z7" s="64">
        <v>7.9839248717983608E-3</v>
      </c>
      <c r="AA7" s="20">
        <v>55784139</v>
      </c>
      <c r="AB7" s="79">
        <f>AA7/$G$53</f>
        <v>4.3698070408193845E-2</v>
      </c>
      <c r="AC7" s="20">
        <v>32860175</v>
      </c>
      <c r="AD7" s="7">
        <f>AC7/AC14</f>
        <v>2.6180229742609765E-2</v>
      </c>
      <c r="AE7" s="20">
        <v>753642</v>
      </c>
      <c r="AF7" s="7">
        <f>AE7/AE14</f>
        <v>5.8023057644727744E-4</v>
      </c>
      <c r="AG7" s="20">
        <v>31181339</v>
      </c>
      <c r="AH7" s="7">
        <f>AG7/AG14</f>
        <v>2.6235936291997396E-2</v>
      </c>
      <c r="AI7" s="20">
        <f>'[1]1230(dekabr2019)'!I5+'[1]1230(dekabr2019)'!I6</f>
        <v>136226504.16</v>
      </c>
      <c r="AJ7" s="79">
        <f>AI7/$AI$14</f>
        <v>9.6878446442613106E-2</v>
      </c>
      <c r="AK7" s="20">
        <f>'[1]1230(mart2020)'!I5+'[1]1230(mart2020)'!I6+'[1]1230(mart2020)'!I23</f>
        <v>10429164.890000001</v>
      </c>
      <c r="AL7" s="79">
        <f>AK7/AK$14</f>
        <v>7.9122109371589245E-3</v>
      </c>
      <c r="AM7" s="20">
        <f>+'[1]1230(iyun2020)'!H5+'[1]1230(iyun2020)'!H6+'[1]1230(iyun2020)'!H25</f>
        <v>1217548.6499999999</v>
      </c>
      <c r="AN7" s="79">
        <f>AM7/AM$14</f>
        <v>8.1548575172720654E-4</v>
      </c>
      <c r="AO7" s="20">
        <v>11736038.73</v>
      </c>
      <c r="AP7" s="79">
        <f>AO7/AO$14</f>
        <v>7.4066786979718876E-3</v>
      </c>
      <c r="AQ7" s="20">
        <v>176502989.05000001</v>
      </c>
      <c r="AR7" s="79">
        <f>AQ7/AQ$14</f>
        <v>9.9261213363217041E-2</v>
      </c>
      <c r="AS7" s="20">
        <v>22743539</v>
      </c>
      <c r="AT7" s="79">
        <f>AS7/AS$14</f>
        <v>1.1302837607663749E-2</v>
      </c>
      <c r="AU7" s="80">
        <v>41289287</v>
      </c>
      <c r="AV7" s="79">
        <f>AU7/AU$14</f>
        <v>1.7204006383857429E-2</v>
      </c>
      <c r="AW7" s="20">
        <v>12892783</v>
      </c>
      <c r="AX7" s="79">
        <f>AW7/AW$14</f>
        <v>4.5850941489518921E-3</v>
      </c>
      <c r="AY7" s="20">
        <v>7218490</v>
      </c>
      <c r="AZ7" s="79">
        <f>AY7/AY$14</f>
        <v>2.1523324612758494E-3</v>
      </c>
      <c r="BA7" s="20">
        <v>41562197</v>
      </c>
      <c r="BB7" s="79">
        <f>BA7/BA$14</f>
        <v>1.0391376629592157E-2</v>
      </c>
    </row>
    <row r="8" spans="1:54" x14ac:dyDescent="0.25">
      <c r="A8" s="56"/>
      <c r="B8" s="69" t="s">
        <v>16</v>
      </c>
      <c r="C8" s="13">
        <v>0</v>
      </c>
      <c r="D8" s="67">
        <f>C8/C14</f>
        <v>0</v>
      </c>
      <c r="E8" s="13">
        <v>0</v>
      </c>
      <c r="F8" s="67">
        <f>E8/E14</f>
        <v>0</v>
      </c>
      <c r="G8" s="13">
        <v>0</v>
      </c>
      <c r="H8" s="67">
        <f>G8/G14</f>
        <v>0</v>
      </c>
      <c r="I8" s="13">
        <v>21441667</v>
      </c>
      <c r="J8" s="67">
        <f>I8/I14</f>
        <v>0.15455906476430303</v>
      </c>
      <c r="K8" s="13">
        <v>22661111</v>
      </c>
      <c r="L8" s="67">
        <f>K8/K14</f>
        <v>9.417244240757508E-2</v>
      </c>
      <c r="M8" s="13">
        <v>32062028</v>
      </c>
      <c r="N8" s="67">
        <f>M8/M14</f>
        <v>9.3812629996045227E-2</v>
      </c>
      <c r="O8" s="13">
        <v>27204567</v>
      </c>
      <c r="P8" s="67">
        <f>O8/O14</f>
        <v>6.7823192034097271E-2</v>
      </c>
      <c r="Q8" s="13">
        <v>32810114</v>
      </c>
      <c r="R8" s="67">
        <f>Q8/Q14</f>
        <v>6.6601144981551633E-2</v>
      </c>
      <c r="S8" s="13">
        <v>40855701</v>
      </c>
      <c r="T8" s="67">
        <f>S8/S14</f>
        <v>7.0196292647832947E-2</v>
      </c>
      <c r="U8" s="13">
        <v>30217572.77</v>
      </c>
      <c r="V8" s="67">
        <f>U8/U14</f>
        <v>4.71369130892869E-2</v>
      </c>
      <c r="W8" s="13">
        <v>38984424</v>
      </c>
      <c r="X8" s="67">
        <f>W8/$C$53</f>
        <v>5.6329089002964711E-2</v>
      </c>
      <c r="Y8" s="13">
        <v>57834465</v>
      </c>
      <c r="Z8" s="78">
        <v>6.0345791690760771E-2</v>
      </c>
      <c r="AA8" s="13">
        <v>285313</v>
      </c>
      <c r="AB8" s="77">
        <f>AA8/$G$53</f>
        <v>2.2349771433010753E-4</v>
      </c>
      <c r="AC8" s="13">
        <v>276368</v>
      </c>
      <c r="AD8" s="7">
        <f>AC8/AC14</f>
        <v>2.2018682899605906E-4</v>
      </c>
      <c r="AE8" s="13">
        <v>213970</v>
      </c>
      <c r="AF8" s="7">
        <f>AE8/AE14</f>
        <v>1.6473595744720165E-4</v>
      </c>
      <c r="AG8" s="13">
        <v>32627086</v>
      </c>
      <c r="AH8" s="7">
        <f>AG8/AG14</f>
        <v>2.7452385854549739E-2</v>
      </c>
      <c r="AI8" s="13">
        <f>'[1]1230(dekabr2019)'!I11+'[1]1230(dekabr2019)'!I12-315863.42</f>
        <v>23830817.539999999</v>
      </c>
      <c r="AJ8" s="77">
        <f>AI8/$AI$14</f>
        <v>1.694745523250734E-2</v>
      </c>
      <c r="AK8" s="13">
        <f>'[1]1230(mart2020)'!I11+'[1]1230(mart2020)'!I12-'[1]1230(mart2020)'!J20</f>
        <v>32883317.689999998</v>
      </c>
      <c r="AL8" s="77">
        <f>AK8/AK$14</f>
        <v>2.4947323071510999E-2</v>
      </c>
      <c r="AM8" s="13">
        <f>+'[1]1230(iyun2020)'!H11+'[1]1230(iyun2020)'!H12-'[1]1230(iyun2020)'!I20</f>
        <v>37161511.350000001</v>
      </c>
      <c r="AN8" s="77">
        <f>AM8/AM$14</f>
        <v>2.4889915502410417E-2</v>
      </c>
      <c r="AO8" s="13">
        <v>34276511.449999996</v>
      </c>
      <c r="AP8" s="77">
        <f>AO8/AO$14</f>
        <v>2.1632095210161635E-2</v>
      </c>
      <c r="AQ8" s="13">
        <v>42542263.539999999</v>
      </c>
      <c r="AR8" s="77">
        <f>AQ8/AQ$14</f>
        <v>2.3924788588151953E-2</v>
      </c>
      <c r="AS8" s="13">
        <v>44779069</v>
      </c>
      <c r="AT8" s="77">
        <f>AS8/AS$14</f>
        <v>2.2253816573109837E-2</v>
      </c>
      <c r="AU8" s="63">
        <v>31650056</v>
      </c>
      <c r="AV8" s="77">
        <f>AU8/AU$14</f>
        <v>1.3187628196956879E-2</v>
      </c>
      <c r="AW8" s="13">
        <v>4629603</v>
      </c>
      <c r="AX8" s="77">
        <f>AW8/AW$14</f>
        <v>1.646437827059536E-3</v>
      </c>
      <c r="AY8" s="13">
        <v>1292000</v>
      </c>
      <c r="AZ8" s="77">
        <f>AY8/AY$14</f>
        <v>3.8523479840914059E-4</v>
      </c>
      <c r="BA8" s="13"/>
      <c r="BB8" s="77">
        <f>BA8/BA$14</f>
        <v>0</v>
      </c>
    </row>
    <row r="9" spans="1:54" x14ac:dyDescent="0.25">
      <c r="A9" s="56"/>
      <c r="B9" s="65" t="s">
        <v>15</v>
      </c>
      <c r="C9" s="20">
        <v>24941488</v>
      </c>
      <c r="D9" s="62">
        <f>C9/C14</f>
        <v>0.94441692057874538</v>
      </c>
      <c r="E9" s="20">
        <v>0</v>
      </c>
      <c r="F9" s="62">
        <f>E9/E14</f>
        <v>0</v>
      </c>
      <c r="G9" s="20">
        <v>7994312</v>
      </c>
      <c r="H9" s="62">
        <f>G9/G14</f>
        <v>0.11604985373338959</v>
      </c>
      <c r="I9" s="20">
        <v>3931346</v>
      </c>
      <c r="J9" s="62">
        <f>I9/I14</f>
        <v>2.8338522421082448E-2</v>
      </c>
      <c r="K9" s="20">
        <v>14996729</v>
      </c>
      <c r="L9" s="62">
        <f>K9/K14</f>
        <v>6.2321683965738089E-2</v>
      </c>
      <c r="M9" s="20">
        <v>19119550</v>
      </c>
      <c r="N9" s="62">
        <f>M9/M14</f>
        <v>5.5943288111434702E-2</v>
      </c>
      <c r="O9" s="20">
        <v>31742704</v>
      </c>
      <c r="P9" s="62">
        <f>O9/O14</f>
        <v>7.9137135653491841E-2</v>
      </c>
      <c r="Q9" s="20">
        <v>42149125</v>
      </c>
      <c r="R9" s="62">
        <f>Q9/Q14</f>
        <v>8.5558373401888904E-2</v>
      </c>
      <c r="S9" s="20">
        <v>53548877</v>
      </c>
      <c r="T9" s="62">
        <f>S9/S14</f>
        <v>9.2005094732184642E-2</v>
      </c>
      <c r="U9" s="20">
        <v>42707864.739999995</v>
      </c>
      <c r="V9" s="62">
        <f>U9/U14</f>
        <v>6.6620735020683802E-2</v>
      </c>
      <c r="W9" s="20">
        <v>97040268.289999992</v>
      </c>
      <c r="X9" s="62">
        <f>W9/$C$53</f>
        <v>0.14021471522521364</v>
      </c>
      <c r="Y9" s="20">
        <v>197716430.97</v>
      </c>
      <c r="Z9" s="64">
        <v>0.20630180563019476</v>
      </c>
      <c r="AA9" s="20">
        <v>260547880</v>
      </c>
      <c r="AB9" s="79">
        <f>AA9/$G$53</f>
        <v>0.20409815064001688</v>
      </c>
      <c r="AC9" s="20">
        <v>225918770</v>
      </c>
      <c r="AD9" s="7">
        <f>AC9/AC14</f>
        <v>0.17999311634121895</v>
      </c>
      <c r="AE9" s="20">
        <v>221501160</v>
      </c>
      <c r="AF9" s="7">
        <f>AE9/AE14</f>
        <v>0.1705342135265028</v>
      </c>
      <c r="AG9" s="20">
        <v>29688071</v>
      </c>
      <c r="AH9" s="7">
        <f>AG9/AG14</f>
        <v>2.4979502624576048E-2</v>
      </c>
      <c r="AI9" s="20">
        <f>'[1]1230(dekabr2019)'!I7+'[1]1230(dekabr2019)'!I8+'[1]1230(dekabr2019)'!I9+'[1]1230(dekabr2019)'!I10</f>
        <v>30137799.07</v>
      </c>
      <c r="AJ9" s="79">
        <f>AI9/$AI$14</f>
        <v>2.1432709964222502E-2</v>
      </c>
      <c r="AK9" s="20">
        <f>SUM('[1]1230(mart2020)'!I7:I10)</f>
        <v>29504083.149999999</v>
      </c>
      <c r="AL9" s="79">
        <f>AK9/AK$14</f>
        <v>2.2383626287672615E-2</v>
      </c>
      <c r="AM9" s="20">
        <f>+SUM('[1]1230(iyun2020)'!H7:H10)</f>
        <v>127170422.30000001</v>
      </c>
      <c r="AN9" s="79">
        <f>AM9/AM$14</f>
        <v>8.5175789424744408E-2</v>
      </c>
      <c r="AO9" s="20">
        <v>135414486.05000001</v>
      </c>
      <c r="AP9" s="79">
        <f>AO9/AO$14</f>
        <v>8.546082816338374E-2</v>
      </c>
      <c r="AQ9" s="20">
        <v>110449737</v>
      </c>
      <c r="AR9" s="79">
        <f>AQ9/AQ$14</f>
        <v>6.2114386670032475E-2</v>
      </c>
      <c r="AS9" s="20">
        <v>119743784</v>
      </c>
      <c r="AT9" s="79">
        <f>AS9/AS$14</f>
        <v>5.9508968462611056E-2</v>
      </c>
      <c r="AU9" s="80">
        <v>84571480</v>
      </c>
      <c r="AV9" s="79">
        <f>AU9/AU$14</f>
        <v>3.5238396870652451E-2</v>
      </c>
      <c r="AW9" s="20">
        <v>79562360</v>
      </c>
      <c r="AX9" s="79">
        <f>AW9/AW$14</f>
        <v>2.8294970241320595E-2</v>
      </c>
      <c r="AY9" s="20">
        <v>92893685</v>
      </c>
      <c r="AZ9" s="79">
        <f>AY9/AY$14</f>
        <v>2.7698049546793502E-2</v>
      </c>
      <c r="BA9" s="20">
        <v>79350090</v>
      </c>
      <c r="BB9" s="79">
        <f>BA9/BA$14</f>
        <v>1.9839102124029544E-2</v>
      </c>
    </row>
    <row r="10" spans="1:54" x14ac:dyDescent="0.25">
      <c r="A10" s="56"/>
      <c r="B10" s="69" t="s">
        <v>14</v>
      </c>
      <c r="C10" s="13">
        <v>1253009</v>
      </c>
      <c r="D10" s="67">
        <f>C10/C14</f>
        <v>4.7445561437130503E-2</v>
      </c>
      <c r="E10" s="13">
        <v>45622250</v>
      </c>
      <c r="F10" s="67">
        <f>E10/E14</f>
        <v>0.97539387763357255</v>
      </c>
      <c r="G10" s="13">
        <v>59560713</v>
      </c>
      <c r="H10" s="67">
        <f>G10/G14</f>
        <v>0.86461624613930455</v>
      </c>
      <c r="I10" s="13">
        <v>102763666</v>
      </c>
      <c r="J10" s="67">
        <f>I10/I14</f>
        <v>0.7407565889681621</v>
      </c>
      <c r="K10" s="13">
        <v>193047398</v>
      </c>
      <c r="L10" s="67">
        <f>K10/K14</f>
        <v>0.80224420462382562</v>
      </c>
      <c r="M10" s="13">
        <v>278078357</v>
      </c>
      <c r="N10" s="67">
        <f>M10/M14</f>
        <v>0.81364977958191453</v>
      </c>
      <c r="O10" s="13">
        <v>328936182</v>
      </c>
      <c r="P10" s="67">
        <f>O10/O14</f>
        <v>0.82006458102232505</v>
      </c>
      <c r="Q10" s="13">
        <v>403521646</v>
      </c>
      <c r="R10" s="67">
        <f>Q10/Q14</f>
        <v>0.81910729260009141</v>
      </c>
      <c r="S10" s="13">
        <v>476081984</v>
      </c>
      <c r="T10" s="67">
        <f>S10/S14</f>
        <v>0.81798107620830995</v>
      </c>
      <c r="U10" s="13">
        <v>556188905.13</v>
      </c>
      <c r="V10" s="67">
        <f>U10/U14</f>
        <v>0.86760866870044262</v>
      </c>
      <c r="W10" s="13">
        <v>537486894</v>
      </c>
      <c r="X10" s="67">
        <f>W10/$C$53</f>
        <v>0.77662163458034061</v>
      </c>
      <c r="Y10" s="13">
        <v>683691072</v>
      </c>
      <c r="Z10" s="78">
        <v>0.71337876146593426</v>
      </c>
      <c r="AA10" s="13">
        <v>895274390</v>
      </c>
      <c r="AB10" s="77">
        <f>AA10/$G$53</f>
        <v>0.70130621409918681</v>
      </c>
      <c r="AC10" s="13">
        <v>933377300</v>
      </c>
      <c r="AD10" s="7">
        <f>AC10/AC14</f>
        <v>0.74363670158594097</v>
      </c>
      <c r="AE10" s="13">
        <v>961209925</v>
      </c>
      <c r="AF10" s="7">
        <f>AE10/AE14</f>
        <v>0.7400375627547221</v>
      </c>
      <c r="AG10" s="13">
        <v>963528986</v>
      </c>
      <c r="AH10" s="7">
        <f>AG10/AG14</f>
        <v>0.81071198039920134</v>
      </c>
      <c r="AI10" s="13">
        <f>'[1]1230(dekabr2019)'!I13+'[1]1230(dekabr2019)'!I14+'[1]1230(dekabr2019)'!I15+'[1]1230(dekabr2019)'!I16+'[1]1230(dekabr2019)'!I17+'[1]1230(dekabr2019)'!I18-'[1]1230(dekabr2019)'!O19</f>
        <v>998078538.27999997</v>
      </c>
      <c r="AJ10" s="77">
        <f>AI10/$AI$14</f>
        <v>0.70979064472442199</v>
      </c>
      <c r="AK10" s="13">
        <f>SUM('[1]1230(mart2020)'!I13:I18)-'[1]1230(mart2020)'!J19</f>
        <v>1016352330.37</v>
      </c>
      <c r="AL10" s="77">
        <f>AK10/AK$14</f>
        <v>0.77106787640026209</v>
      </c>
      <c r="AM10" s="13">
        <f>+SUM('[1]1230(iyun2020)'!H13:H18)-'[1]1230(iyun2020)'!I19</f>
        <v>1038341159.1200001</v>
      </c>
      <c r="AN10" s="77">
        <f>AM10/AM$14</f>
        <v>0.69545674474220998</v>
      </c>
      <c r="AO10" s="13">
        <v>1089829611.3800001</v>
      </c>
      <c r="AP10" s="77">
        <f>AO10/AO$14</f>
        <v>0.68779747176475337</v>
      </c>
      <c r="AQ10" s="13">
        <v>1137758725</v>
      </c>
      <c r="AR10" s="77">
        <f>AQ10/AQ$14</f>
        <v>0.63984928621290549</v>
      </c>
      <c r="AS10" s="13">
        <v>1409845702</v>
      </c>
      <c r="AT10" s="77">
        <f>AS10/AS$14</f>
        <v>0.7006498426462433</v>
      </c>
      <c r="AU10" s="63">
        <v>1708115183</v>
      </c>
      <c r="AV10" s="77">
        <f>AU10/AU$14</f>
        <v>0.71172031894606946</v>
      </c>
      <c r="AW10" s="13">
        <v>2005997625</v>
      </c>
      <c r="AX10" s="77">
        <f>AW10/AW$14</f>
        <v>0.7133981835573352</v>
      </c>
      <c r="AY10" s="13">
        <v>2276827323</v>
      </c>
      <c r="AZ10" s="77">
        <f>AY10/AY$14</f>
        <v>0.67888011980520757</v>
      </c>
      <c r="BA10" s="13">
        <v>2544897742</v>
      </c>
      <c r="BB10" s="77">
        <f>BA10/BA$14</f>
        <v>0.63627509683669159</v>
      </c>
    </row>
    <row r="11" spans="1:54" x14ac:dyDescent="0.25">
      <c r="A11" s="56"/>
      <c r="B11" s="69" t="s">
        <v>28</v>
      </c>
      <c r="C11" s="13"/>
      <c r="D11" s="67"/>
      <c r="E11" s="13"/>
      <c r="F11" s="67"/>
      <c r="G11" s="13"/>
      <c r="H11" s="67"/>
      <c r="I11" s="13"/>
      <c r="J11" s="67"/>
      <c r="K11" s="13"/>
      <c r="L11" s="67"/>
      <c r="M11" s="13"/>
      <c r="N11" s="67"/>
      <c r="O11" s="13"/>
      <c r="P11" s="67"/>
      <c r="Q11" s="13"/>
      <c r="R11" s="67"/>
      <c r="S11" s="13"/>
      <c r="T11" s="67"/>
      <c r="U11" s="13"/>
      <c r="V11" s="67"/>
      <c r="W11" s="13"/>
      <c r="X11" s="67"/>
      <c r="Y11" s="13"/>
      <c r="Z11" s="78"/>
      <c r="AA11" s="13"/>
      <c r="AB11" s="77"/>
      <c r="AC11" s="13"/>
      <c r="AD11" s="7"/>
      <c r="AE11" s="13"/>
      <c r="AF11" s="7"/>
      <c r="AG11" s="13"/>
      <c r="AH11" s="7"/>
      <c r="AI11" s="13"/>
      <c r="AJ11" s="77"/>
      <c r="AK11" s="13">
        <f>SUM('[2]1230_31.03.2020'!I21+'[2]1230_31.03.2020'!I22)</f>
        <v>6588214.5300000003</v>
      </c>
      <c r="AL11" s="77">
        <f>AK11/AK$14</f>
        <v>4.9982279128214391E-3</v>
      </c>
      <c r="AM11" s="13">
        <f>+'[1]1230(iyun2020)'!H21+'[1]1230(iyun2020)'!H22+'[1]1230(iyun2020)'!H23+'[1]1230(iyun2020)'!H24</f>
        <v>32247013.899999999</v>
      </c>
      <c r="AN11" s="77">
        <f>AM11/AM$14</f>
        <v>2.1598299477560243E-2</v>
      </c>
      <c r="AO11" s="13">
        <v>70563137.280000001</v>
      </c>
      <c r="AP11" s="77">
        <f>AO11/AO$14</f>
        <v>4.4532784679540839E-2</v>
      </c>
      <c r="AQ11" s="13">
        <v>51342917</v>
      </c>
      <c r="AR11" s="77">
        <f>AQ11/AQ$14</f>
        <v>2.8874073274664146E-2</v>
      </c>
      <c r="AS11" s="13">
        <v>140522581</v>
      </c>
      <c r="AT11" s="77">
        <f>AS11/AS$14</f>
        <v>6.9835389877220752E-2</v>
      </c>
      <c r="AU11" s="68">
        <v>303061813</v>
      </c>
      <c r="AV11" s="77">
        <f>AU11/AU$14</f>
        <v>0.12627675952736617</v>
      </c>
      <c r="AW11" s="13">
        <v>455703638</v>
      </c>
      <c r="AX11" s="77">
        <f>AW11/AW$14</f>
        <v>0.1620630770136976</v>
      </c>
      <c r="AY11" s="13">
        <v>630711965</v>
      </c>
      <c r="AZ11" s="77">
        <f>AY11/AY$14</f>
        <v>0.18805897576703401</v>
      </c>
      <c r="BA11" s="13">
        <v>988354594</v>
      </c>
      <c r="BB11" s="77">
        <f>BA11/BA$14</f>
        <v>0.24710832369717234</v>
      </c>
    </row>
    <row r="12" spans="1:54" x14ac:dyDescent="0.25">
      <c r="A12" s="56"/>
      <c r="B12" s="65" t="s">
        <v>13</v>
      </c>
      <c r="C12" s="20">
        <v>127464</v>
      </c>
      <c r="D12" s="62">
        <f>C12/C14</f>
        <v>4.8264625737104855E-3</v>
      </c>
      <c r="E12" s="20">
        <v>421275</v>
      </c>
      <c r="F12" s="62">
        <f>E12/E14</f>
        <v>9.0067687542829053E-3</v>
      </c>
      <c r="G12" s="20">
        <v>401934</v>
      </c>
      <c r="H12" s="62">
        <f>G12/G14</f>
        <v>5.8346962078132817E-3</v>
      </c>
      <c r="I12" s="20">
        <v>9436815</v>
      </c>
      <c r="J12" s="62">
        <f>I12/I14</f>
        <v>6.8023876163814417E-2</v>
      </c>
      <c r="K12" s="20">
        <v>8874117</v>
      </c>
      <c r="L12" s="62">
        <f>K12/K14</f>
        <v>3.6878036213695918E-2</v>
      </c>
      <c r="M12" s="20">
        <v>9065506</v>
      </c>
      <c r="N12" s="62">
        <f>M12/M14</f>
        <v>2.6525426280113285E-2</v>
      </c>
      <c r="O12" s="20">
        <v>11307240</v>
      </c>
      <c r="P12" s="62">
        <f>O12/O14</f>
        <v>2.8189866425575753E-2</v>
      </c>
      <c r="Q12" s="20">
        <v>11175414</v>
      </c>
      <c r="R12" s="62">
        <f>Q12/Q14</f>
        <v>2.2684936969218149E-2</v>
      </c>
      <c r="S12" s="20">
        <v>10039495</v>
      </c>
      <c r="T12" s="62">
        <f>S12/S14</f>
        <v>1.7249375529169251E-2</v>
      </c>
      <c r="U12" s="20">
        <v>9409848.6600000001</v>
      </c>
      <c r="V12" s="62">
        <f>U12/U14</f>
        <v>1.4678585267117164E-2</v>
      </c>
      <c r="W12" s="20">
        <v>8435534.8400000017</v>
      </c>
      <c r="X12" s="62">
        <f>W12/$C$53</f>
        <v>1.2188611348726605E-2</v>
      </c>
      <c r="Y12" s="20">
        <v>8091609</v>
      </c>
      <c r="Z12" s="64">
        <v>8.4429682397353396E-3</v>
      </c>
      <c r="AA12" s="20">
        <v>7467259</v>
      </c>
      <c r="AB12" s="79">
        <f>AA12/$G$53</f>
        <v>5.8494191249992972E-3</v>
      </c>
      <c r="AC12" s="20">
        <v>7219255</v>
      </c>
      <c r="AD12" s="7">
        <f>AC12/AC14</f>
        <v>5.7516965284111921E-3</v>
      </c>
      <c r="AE12" s="20">
        <v>9712806</v>
      </c>
      <c r="AF12" s="7">
        <f>AE12/AE14</f>
        <v>7.4779099682615547E-3</v>
      </c>
      <c r="AG12" s="20">
        <v>14044829</v>
      </c>
      <c r="AH12" s="7">
        <f>AG12/AG14</f>
        <v>1.1817300048468012E-2</v>
      </c>
      <c r="AI12" s="20">
        <f>SUM('[1]1230(dekabr2019)'!I32:I47)</f>
        <v>16674876.02</v>
      </c>
      <c r="AJ12" s="79">
        <f>AI12/$AI$14</f>
        <v>1.185845657129563E-2</v>
      </c>
      <c r="AK12" s="20">
        <f>SUM('[1]1230(mart2020)'!I34:I49)</f>
        <v>16153653.700000001</v>
      </c>
      <c r="AL12" s="79">
        <f>AK12/AK$14</f>
        <v>1.2255162980764582E-2</v>
      </c>
      <c r="AM12" s="20">
        <f>SUM('[1]1230(iyun2020)'!H38:H53)</f>
        <v>15645626.289999999</v>
      </c>
      <c r="AN12" s="79">
        <f>AM12/AM$14</f>
        <v>1.047907639365671E-2</v>
      </c>
      <c r="AO12" s="20">
        <v>15147302.270000003</v>
      </c>
      <c r="AP12" s="79">
        <f>AO12/AO$14</f>
        <v>9.5595459111909586E-3</v>
      </c>
      <c r="AQ12" s="20">
        <v>14636446.230000002</v>
      </c>
      <c r="AR12" s="79">
        <f>AQ12/AQ$14</f>
        <v>8.23120004899024E-3</v>
      </c>
      <c r="AS12" s="20">
        <v>20256973</v>
      </c>
      <c r="AT12" s="79">
        <f>AS12/AS$14</f>
        <v>1.0067090976555107E-2</v>
      </c>
      <c r="AU12" s="63">
        <v>18226084</v>
      </c>
      <c r="AV12" s="79">
        <f>AU12/AU$14</f>
        <v>7.594262053707097E-3</v>
      </c>
      <c r="AW12" s="20">
        <v>16352025</v>
      </c>
      <c r="AX12" s="79">
        <f>AW12/AW$14</f>
        <v>5.8153134316318716E-3</v>
      </c>
      <c r="AY12" s="20">
        <v>15656152</v>
      </c>
      <c r="AZ12" s="79">
        <f>AY12/AY$14</f>
        <v>4.6681846436399865E-3</v>
      </c>
      <c r="BA12" s="20">
        <v>32730708</v>
      </c>
      <c r="BB12" s="79">
        <f>BA12/BA$14</f>
        <v>8.1833285709416431E-3</v>
      </c>
    </row>
    <row r="13" spans="1:54" x14ac:dyDescent="0.25">
      <c r="A13" s="56"/>
      <c r="B13" s="69" t="s">
        <v>12</v>
      </c>
      <c r="C13" s="13">
        <v>62529</v>
      </c>
      <c r="D13" s="67">
        <f>C13/C14</f>
        <v>2.3676793311958118E-3</v>
      </c>
      <c r="E13" s="13">
        <v>47138</v>
      </c>
      <c r="F13" s="67">
        <f>E13/E14</f>
        <v>1.0078002861299332E-3</v>
      </c>
      <c r="G13" s="13">
        <v>57498</v>
      </c>
      <c r="H13" s="67">
        <f>G13/G14</f>
        <v>8.3467276358020987E-4</v>
      </c>
      <c r="I13" s="13">
        <v>32668</v>
      </c>
      <c r="J13" s="67">
        <f>I13/I14</f>
        <v>2.3548241504358085E-4</v>
      </c>
      <c r="K13" s="13">
        <v>22295</v>
      </c>
      <c r="L13" s="67">
        <f>K13/K14</f>
        <v>9.2651000362554433E-5</v>
      </c>
      <c r="M13" s="13">
        <v>1208291</v>
      </c>
      <c r="N13" s="67">
        <f>M13/M14</f>
        <v>3.5354269078222839E-3</v>
      </c>
      <c r="O13" s="13">
        <v>64905</v>
      </c>
      <c r="P13" s="67">
        <f>O13/O14</f>
        <v>1.6181342930299473E-4</v>
      </c>
      <c r="Q13" s="13">
        <v>10944</v>
      </c>
      <c r="R13" s="67">
        <f>Q13/Q14</f>
        <v>2.2215190434208828E-5</v>
      </c>
      <c r="S13" s="13">
        <v>46536</v>
      </c>
      <c r="T13" s="67">
        <f>S13/S14</f>
        <v>7.9955908103487307E-5</v>
      </c>
      <c r="U13" s="13">
        <v>77462.89</v>
      </c>
      <c r="V13" s="67">
        <f>U13/U14</f>
        <v>1.208356985310237E-4</v>
      </c>
      <c r="W13" s="13">
        <v>136268.84000006504</v>
      </c>
      <c r="X13" s="67">
        <f>W13/$C$53</f>
        <v>1.9689657635301786E-4</v>
      </c>
      <c r="Y13" s="13">
        <v>3399148.0299999714</v>
      </c>
      <c r="Z13" s="78">
        <v>3.5467481015764237E-3</v>
      </c>
      <c r="AA13" s="13">
        <v>57222307</v>
      </c>
      <c r="AB13" s="77">
        <f>AA13/$G$53</f>
        <v>4.4824648099440659E-2</v>
      </c>
      <c r="AC13" s="13">
        <v>55500409</v>
      </c>
      <c r="AD13" s="7">
        <f>AC13/AC14</f>
        <v>4.4218068176106996E-2</v>
      </c>
      <c r="AE13" s="13">
        <v>105474896</v>
      </c>
      <c r="AF13" s="7">
        <f>AE13/AE14</f>
        <v>8.1205346446716925E-2</v>
      </c>
      <c r="AG13" s="13">
        <v>117426971</v>
      </c>
      <c r="AH13" s="7">
        <f>AG13/AG14</f>
        <v>9.8802893939808858E-2</v>
      </c>
      <c r="AI13" s="13">
        <f>'[1]1230(dekabr2019)'!I24+'[1]1230(dekabr2019)'!I25+'[1]1230(dekabr2019)'!I26+'[1]1230(dekabr2019)'!I27+'[1]1230(dekabr2019)'!I28+'[1]1230(dekabr2019)'!I29+'[1]1230(dekabr2019)'!I30+'[1]1230(dekabr2019)'!I31+'[1]1230(dekabr2019)'!I22+'[1]1230(dekabr2019)'!I21</f>
        <v>201210514.36000001</v>
      </c>
      <c r="AJ13" s="77">
        <f>AI13/$AI$14</f>
        <v>0.14309228706493951</v>
      </c>
      <c r="AK13" s="13">
        <f>SUM('[1]1230(mart2020)'!I24:I30)+'[1]1230(mart2020)'!I33</f>
        <v>206199302.85999998</v>
      </c>
      <c r="AL13" s="77">
        <f>AK13/AK$14</f>
        <v>0.15643557240980943</v>
      </c>
      <c r="AM13" s="13">
        <f>+SUM('[1]1230(iyun2020)'!H26:H34)+'[1]1230(iyun2020)'!H37</f>
        <v>241251572.06</v>
      </c>
      <c r="AN13" s="77">
        <f>AM13/AM$14</f>
        <v>0.16158468870769105</v>
      </c>
      <c r="AO13" s="13">
        <v>227554019.88</v>
      </c>
      <c r="AP13" s="77">
        <f>AO13/AO$14</f>
        <v>0.14361059557299768</v>
      </c>
      <c r="AQ13" s="13">
        <v>244933671</v>
      </c>
      <c r="AR13" s="77">
        <f>AQ13/AQ$14</f>
        <v>0.1377450518420385</v>
      </c>
      <c r="AS13" s="13">
        <v>254305624</v>
      </c>
      <c r="AT13" s="77">
        <f>AS13/AS$14</f>
        <v>0.12638205385659623</v>
      </c>
      <c r="AU13" s="68">
        <f>100483+212219005+747525</f>
        <v>213067013</v>
      </c>
      <c r="AV13" s="77">
        <f>AU13/AU$14</f>
        <v>8.8778628021390485E-2</v>
      </c>
      <c r="AW13" s="13">
        <v>236752536</v>
      </c>
      <c r="AX13" s="77">
        <f>AW13/AW$14</f>
        <v>8.4196923780003291E-2</v>
      </c>
      <c r="AY13" s="13">
        <v>329199173</v>
      </c>
      <c r="AZ13" s="77">
        <f>AY13/AY$14</f>
        <v>9.8157102977639937E-2</v>
      </c>
      <c r="BA13" s="13">
        <v>312786182</v>
      </c>
      <c r="BB13" s="77">
        <f>BA13/BA$14</f>
        <v>7.8202772141572757E-2</v>
      </c>
    </row>
    <row r="14" spans="1:54" x14ac:dyDescent="0.25">
      <c r="A14" s="56"/>
      <c r="B14" s="55" t="s">
        <v>11</v>
      </c>
      <c r="C14" s="8">
        <v>26409404</v>
      </c>
      <c r="D14" s="54">
        <f>SUM(D7:D13)</f>
        <v>1</v>
      </c>
      <c r="E14" s="8">
        <v>46773156</v>
      </c>
      <c r="F14" s="54">
        <f>SUM(F7:F13)</f>
        <v>0.99999999999999989</v>
      </c>
      <c r="G14" s="8">
        <v>68886877</v>
      </c>
      <c r="H14" s="54">
        <f>SUM(H7:H13)</f>
        <v>1</v>
      </c>
      <c r="I14" s="8">
        <v>138727981</v>
      </c>
      <c r="J14" s="54">
        <f>SUM(J7:J13)</f>
        <v>1</v>
      </c>
      <c r="K14" s="8">
        <v>240634207</v>
      </c>
      <c r="L14" s="54">
        <f>SUM(L7:L13)</f>
        <v>1</v>
      </c>
      <c r="M14" s="8">
        <v>341766647</v>
      </c>
      <c r="N14" s="54">
        <f>SUM(N7:N13)</f>
        <v>1</v>
      </c>
      <c r="O14" s="8">
        <v>401110095</v>
      </c>
      <c r="P14" s="54">
        <f>SUM(P7:P13)</f>
        <v>1</v>
      </c>
      <c r="Q14" s="8">
        <v>492635885</v>
      </c>
      <c r="R14" s="54">
        <f>SUM(R7:R13)</f>
        <v>0.99999999999999989</v>
      </c>
      <c r="S14" s="8">
        <v>582020780</v>
      </c>
      <c r="T14" s="54">
        <f>SUM(T7:T13)</f>
        <v>1</v>
      </c>
      <c r="U14" s="8">
        <v>641059644.96999991</v>
      </c>
      <c r="V14" s="54">
        <f>SUM(V7:V13)</f>
        <v>1.0000000000000002</v>
      </c>
      <c r="W14" s="8">
        <v>692083339</v>
      </c>
      <c r="X14" s="54">
        <f>SUM(X7:X13)</f>
        <v>1</v>
      </c>
      <c r="Y14" s="8">
        <v>958384394</v>
      </c>
      <c r="Z14" s="73">
        <f>SUM(Z7:Z13)</f>
        <v>0.99999999999999989</v>
      </c>
      <c r="AA14" s="8">
        <v>1276581288</v>
      </c>
      <c r="AB14" s="76">
        <f>SUM(AB7:AB13)</f>
        <v>1.0000000000861675</v>
      </c>
      <c r="AC14" s="8">
        <v>1255152278</v>
      </c>
      <c r="AD14" s="41">
        <f>SUM(AD7:AD13)</f>
        <v>0.99999999920328397</v>
      </c>
      <c r="AE14" s="8">
        <v>1298866400</v>
      </c>
      <c r="AF14" s="41">
        <f>SUM(AF7:AF13)</f>
        <v>0.99999999923009797</v>
      </c>
      <c r="AG14" s="8">
        <v>1188497283</v>
      </c>
      <c r="AH14" s="41">
        <f>SUM(AH7:AH13)</f>
        <v>0.99999999915860149</v>
      </c>
      <c r="AI14" s="8">
        <f>AI7+AI8+AI9+AI10+AI12+AI13</f>
        <v>1406159049.4299998</v>
      </c>
      <c r="AJ14" s="76">
        <f>AI14/$AI$14</f>
        <v>1</v>
      </c>
      <c r="AK14" s="8">
        <f>SUM(AK7:AK13)</f>
        <v>1318110067.1899998</v>
      </c>
      <c r="AL14" s="76">
        <f>AK14/$AK$14</f>
        <v>1</v>
      </c>
      <c r="AM14" s="8">
        <f>SUM(AM7:AM13)</f>
        <v>1493034853.6700001</v>
      </c>
      <c r="AN14" s="76">
        <f>AM14/$AM$14</f>
        <v>1</v>
      </c>
      <c r="AO14" s="8">
        <f>SUM(AO7:AO13)</f>
        <v>1584521107.04</v>
      </c>
      <c r="AP14" s="76">
        <f>AO14/AO$14</f>
        <v>1</v>
      </c>
      <c r="AQ14" s="8">
        <f>SUM(AQ7:AQ13)</f>
        <v>1778166748.8200002</v>
      </c>
      <c r="AR14" s="76">
        <f>AQ14/AQ$14</f>
        <v>1</v>
      </c>
      <c r="AS14" s="8">
        <f>SUM(AS7:AS13)</f>
        <v>2012197272</v>
      </c>
      <c r="AT14" s="76">
        <f>AS14/AS$14</f>
        <v>1</v>
      </c>
      <c r="AU14" s="8">
        <f>SUM(AU7:AU13)</f>
        <v>2399980916</v>
      </c>
      <c r="AV14" s="76">
        <f>AU14/AU$14</f>
        <v>1</v>
      </c>
      <c r="AW14" s="8">
        <f>SUM(AW7:AW13)</f>
        <v>2811890570</v>
      </c>
      <c r="AX14" s="76">
        <f>AW14/AW$14</f>
        <v>1</v>
      </c>
      <c r="AY14" s="8">
        <f>SUM(AY7:AY13)</f>
        <v>3353798788</v>
      </c>
      <c r="AZ14" s="76">
        <f>AY14/AY$14</f>
        <v>1</v>
      </c>
      <c r="BA14" s="8">
        <f>SUM(BA7:BA13)</f>
        <v>3999681513</v>
      </c>
      <c r="BB14" s="76">
        <f>BA14/BA$14</f>
        <v>1</v>
      </c>
    </row>
    <row r="15" spans="1:54" x14ac:dyDescent="0.25">
      <c r="A15" s="56"/>
      <c r="B15" s="72" t="s">
        <v>10</v>
      </c>
      <c r="C15" s="37"/>
      <c r="D15" s="75"/>
      <c r="E15" s="37"/>
      <c r="F15" s="75"/>
      <c r="G15" s="37"/>
      <c r="H15" s="75"/>
      <c r="I15" s="37"/>
      <c r="J15" s="75"/>
      <c r="K15" s="37"/>
      <c r="L15" s="75"/>
      <c r="M15" s="37"/>
      <c r="N15" s="75"/>
      <c r="O15" s="37">
        <f>O14-M14</f>
        <v>59343448</v>
      </c>
      <c r="P15" s="75"/>
      <c r="Q15" s="37"/>
      <c r="R15" s="75"/>
      <c r="S15" s="37"/>
      <c r="T15" s="75"/>
      <c r="U15" s="37"/>
      <c r="V15" s="75"/>
      <c r="W15" s="37"/>
      <c r="X15" s="75"/>
      <c r="Y15" s="37"/>
      <c r="Z15" s="74"/>
      <c r="AA15" s="37"/>
      <c r="AB15" s="74"/>
      <c r="AC15" s="37"/>
      <c r="AD15" s="36"/>
      <c r="AE15" s="37"/>
      <c r="AF15" s="36"/>
      <c r="AG15" s="37"/>
      <c r="AH15" s="36"/>
      <c r="AI15" s="37"/>
      <c r="AJ15" s="74"/>
      <c r="AK15" s="37"/>
      <c r="AL15" s="74"/>
      <c r="AM15" s="37"/>
      <c r="AN15" s="74"/>
      <c r="AO15" s="37"/>
      <c r="AP15" s="74"/>
      <c r="AQ15" s="37"/>
      <c r="AR15" s="74"/>
      <c r="AS15" s="37"/>
      <c r="AT15" s="74"/>
      <c r="AU15" s="37"/>
      <c r="AV15" s="74"/>
      <c r="AW15" s="37"/>
      <c r="AX15" s="74"/>
      <c r="AY15" s="37"/>
      <c r="AZ15" s="74"/>
      <c r="BA15" s="37"/>
      <c r="BB15" s="74"/>
    </row>
    <row r="16" spans="1:54" x14ac:dyDescent="0.25">
      <c r="A16" s="56"/>
      <c r="B16" s="65" t="s">
        <v>9</v>
      </c>
      <c r="C16" s="20">
        <v>0</v>
      </c>
      <c r="D16" s="62">
        <v>0</v>
      </c>
      <c r="E16" s="20">
        <v>0</v>
      </c>
      <c r="F16" s="62">
        <f>E16/E24</f>
        <v>0</v>
      </c>
      <c r="G16" s="20">
        <v>0</v>
      </c>
      <c r="H16" s="62">
        <f>G16/G24</f>
        <v>0</v>
      </c>
      <c r="I16" s="20">
        <v>49073502</v>
      </c>
      <c r="J16" s="62">
        <f>I16/I24</f>
        <v>0.35373903408858809</v>
      </c>
      <c r="K16" s="20">
        <v>132131138</v>
      </c>
      <c r="L16" s="62">
        <f>K16/K24</f>
        <v>0.54909540770319487</v>
      </c>
      <c r="M16" s="20">
        <v>210055131</v>
      </c>
      <c r="N16" s="62">
        <f>M16/M24</f>
        <v>0.6146156532354663</v>
      </c>
      <c r="O16" s="20">
        <v>246362721</v>
      </c>
      <c r="P16" s="62">
        <f>O16/O24</f>
        <v>0.61420224539599289</v>
      </c>
      <c r="Q16" s="20">
        <v>294280332</v>
      </c>
      <c r="R16" s="62">
        <f>Q16/Q24</f>
        <v>0.59735870033097571</v>
      </c>
      <c r="S16" s="20">
        <v>339648251</v>
      </c>
      <c r="T16" s="62">
        <f>S16/S24</f>
        <v>0.5835672241805524</v>
      </c>
      <c r="U16" s="20">
        <v>343680875.74000001</v>
      </c>
      <c r="V16" s="62">
        <f>U16/U24</f>
        <v>0.53611372738348462</v>
      </c>
      <c r="W16" s="20">
        <v>337501623</v>
      </c>
      <c r="X16" s="62">
        <f>W16/$C$63</f>
        <v>0.48766037842734428</v>
      </c>
      <c r="Y16" s="20">
        <v>538589603</v>
      </c>
      <c r="Z16" s="62">
        <v>0.56197659975669434</v>
      </c>
      <c r="AA16" s="20">
        <v>691797195</v>
      </c>
      <c r="AB16" s="62">
        <f>AA16/$G$63</f>
        <v>0.54191393964691303</v>
      </c>
      <c r="AC16" s="20">
        <v>664278213</v>
      </c>
      <c r="AD16" s="21">
        <f>AC16/AC24</f>
        <v>0.5292410443194222</v>
      </c>
      <c r="AE16" s="20">
        <v>663509449</v>
      </c>
      <c r="AF16" s="21">
        <f>AE16/AE24</f>
        <v>0.51083733400140308</v>
      </c>
      <c r="AG16" s="20">
        <v>513439471</v>
      </c>
      <c r="AH16" s="21">
        <f>AG16/AG24</f>
        <v>0.4320072736758625</v>
      </c>
      <c r="AI16" s="20">
        <f>'[1]1230(dekabr2019)'!J48+'[1]1230(dekabr2019)'!J49+'[1]1230(dekabr2019)'!J59</f>
        <v>728919696.11000001</v>
      </c>
      <c r="AJ16" s="62">
        <f>AI16/AI24</f>
        <v>0.51837642150471863</v>
      </c>
      <c r="AK16" s="20">
        <f>SUM('[1]1230(mart2020)'!J50:J51)+'[1]1230(mart2020)'!J63</f>
        <v>621902790.76999998</v>
      </c>
      <c r="AL16" s="62">
        <f>AK16/AK$24</f>
        <v>0.47181400571182747</v>
      </c>
      <c r="AM16" s="20">
        <f>+SUM('[1]1230(iyun2020)'!I54:I55)+'[1]1230(iyun2020)'!I68</f>
        <v>728084823.92000008</v>
      </c>
      <c r="AN16" s="62">
        <f>AM16/AM$24</f>
        <v>0.48765427151972296</v>
      </c>
      <c r="AO16" s="20">
        <v>733972537.28999996</v>
      </c>
      <c r="AP16" s="62">
        <f>AO16/AO$24</f>
        <v>0.46321411184046246</v>
      </c>
      <c r="AQ16" s="20">
        <v>938387281</v>
      </c>
      <c r="AR16" s="62">
        <f>AQ16/AQ$24</f>
        <v>0.52772738075758496</v>
      </c>
      <c r="AS16" s="20">
        <v>1080760388</v>
      </c>
      <c r="AT16" s="62">
        <f>AS16/AS$24</f>
        <v>0.53710458862007637</v>
      </c>
      <c r="AU16" s="63">
        <v>1368819554</v>
      </c>
      <c r="AV16" s="62">
        <f>AU16/AU$24</f>
        <v>0.57034601603473756</v>
      </c>
      <c r="AW16" s="20">
        <v>1646851791</v>
      </c>
      <c r="AX16" s="62">
        <f>AW16/AW$24</f>
        <v>0.58567421099890105</v>
      </c>
      <c r="AY16" s="20">
        <v>2067443841</v>
      </c>
      <c r="AZ16" s="62">
        <f>AY16/AY$24</f>
        <v>0.61644838336676033</v>
      </c>
      <c r="BA16" s="20">
        <v>2585395005</v>
      </c>
      <c r="BB16" s="62">
        <f>BA16/BA$24</f>
        <v>0.64640021876661857</v>
      </c>
    </row>
    <row r="17" spans="1:54" x14ac:dyDescent="0.25">
      <c r="A17" s="56"/>
      <c r="B17" s="69" t="s">
        <v>8</v>
      </c>
      <c r="C17" s="13">
        <v>91915</v>
      </c>
      <c r="D17" s="67">
        <f>C17/$C$24</f>
        <v>3.4803890311193696E-3</v>
      </c>
      <c r="E17" s="13">
        <v>118391</v>
      </c>
      <c r="F17" s="67">
        <f>E17/E24</f>
        <v>2.5311740777124382E-3</v>
      </c>
      <c r="G17" s="13">
        <v>88482</v>
      </c>
      <c r="H17" s="67">
        <f>G17/G24</f>
        <v>1.2844536412936821E-3</v>
      </c>
      <c r="I17" s="13">
        <v>8892500</v>
      </c>
      <c r="J17" s="67">
        <f>I17/I24</f>
        <v>6.4100262513010986E-2</v>
      </c>
      <c r="K17" s="13">
        <v>8438793</v>
      </c>
      <c r="L17" s="67">
        <f>K17/K24</f>
        <v>3.5068966732564336E-2</v>
      </c>
      <c r="M17" s="13">
        <v>7984769</v>
      </c>
      <c r="N17" s="67">
        <f>M17/M24</f>
        <v>2.3363218939266475E-2</v>
      </c>
      <c r="O17" s="13">
        <v>7603774</v>
      </c>
      <c r="P17" s="67">
        <f>O17/O24</f>
        <v>1.8956825307525606E-2</v>
      </c>
      <c r="Q17" s="13">
        <v>7196329</v>
      </c>
      <c r="R17" s="67">
        <f>Q17/Q24</f>
        <v>1.4607805113506905E-2</v>
      </c>
      <c r="S17" s="13">
        <v>6692703</v>
      </c>
      <c r="T17" s="67">
        <f>S17/S24</f>
        <v>1.149907912222653E-2</v>
      </c>
      <c r="U17" s="13">
        <v>6299173.2299999995</v>
      </c>
      <c r="V17" s="67">
        <f>U17/U24</f>
        <v>9.8261889972730779E-3</v>
      </c>
      <c r="W17" s="13">
        <v>6448130</v>
      </c>
      <c r="X17" s="67">
        <f>W17/$C$63</f>
        <v>9.3169848725400389E-3</v>
      </c>
      <c r="Y17" s="13">
        <v>6604895</v>
      </c>
      <c r="Z17" s="67">
        <v>6.8916971534075293E-3</v>
      </c>
      <c r="AA17" s="13">
        <v>52277035</v>
      </c>
      <c r="AB17" s="67">
        <f>AA17/$G$63</f>
        <v>4.0950807830190117E-2</v>
      </c>
      <c r="AC17" s="13">
        <v>31782213</v>
      </c>
      <c r="AD17" s="21">
        <f>AC17/AC24</f>
        <v>2.5321395869568157E-2</v>
      </c>
      <c r="AE17" s="13">
        <v>30533906</v>
      </c>
      <c r="AF17" s="21">
        <f>AE17/AE24</f>
        <v>2.350811907983762E-2</v>
      </c>
      <c r="AG17" s="13">
        <v>24951398</v>
      </c>
      <c r="AH17" s="21">
        <f>AG17/AG24</f>
        <v>2.0994072394526459E-2</v>
      </c>
      <c r="AI17" s="13">
        <f>'[1]1230(dekabr2019)'!J50+'[1]1230(dekabr2019)'!J51+'[1]1230(dekabr2019)'!J53+'[1]1230(dekabr2019)'!J54+'[1]1230(dekabr2019)'!J55+'[1]1230(dekabr2019)'!J56+'[1]1230(dekabr2019)'!J57+'[1]1230(dekabr2019)'!J58+'[1]1230(dekabr2019)'!J60+'[1]1230(dekabr2019)'!J61</f>
        <v>25458697.770000003</v>
      </c>
      <c r="AJ17" s="67">
        <f>AI17/AI24</f>
        <v>1.8105133825593863E-2</v>
      </c>
      <c r="AK17" s="13">
        <f>SUM('[1]1230(mart2020)'!J52:J59)+'[1]1230(mart2020)'!J62-'[1]1230(mart2020)'!J63</f>
        <v>43012822.759999998</v>
      </c>
      <c r="AL17" s="67">
        <f>AK17/AK$24</f>
        <v>3.263219349480917E-2</v>
      </c>
      <c r="AM17" s="13">
        <f>SUM('[1]1230(iyun2020)'!I56:I67)-'[1]1230(iyun2020)'!I68-35500000-40000000</f>
        <v>34471460.38000001</v>
      </c>
      <c r="AN17" s="67">
        <f>AM17/AM$24</f>
        <v>2.3088181963914895E-2</v>
      </c>
      <c r="AO17" s="13">
        <f>90000000+13289887.37+33956114.37-90000000</f>
        <v>47246001.74000001</v>
      </c>
      <c r="AP17" s="67">
        <f>AO17/AO$24</f>
        <v>2.9817211982905649E-2</v>
      </c>
      <c r="AQ17" s="13">
        <v>19717140</v>
      </c>
      <c r="AR17" s="67">
        <f>AQ17/AQ$24</f>
        <v>1.108846513471724E-2</v>
      </c>
      <c r="AS17" s="13">
        <v>30772850</v>
      </c>
      <c r="AT17" s="67">
        <f>AS17/AS$24</f>
        <v>1.5293157598516016E-2</v>
      </c>
      <c r="AU17" s="68">
        <f>9680514+10647686+1173705+110198+3633531</f>
        <v>25245634</v>
      </c>
      <c r="AV17" s="67">
        <f>AU17/AU$24</f>
        <v>1.0519097811026093E-2</v>
      </c>
      <c r="AW17" s="13">
        <v>48190328</v>
      </c>
      <c r="AX17" s="67">
        <f>AW17/AW$24</f>
        <v>1.7138052424280507E-2</v>
      </c>
      <c r="AY17" s="13">
        <v>58561736</v>
      </c>
      <c r="AZ17" s="67">
        <f>AY17/AY$24</f>
        <v>1.7461314676818353E-2</v>
      </c>
      <c r="BA17" s="13">
        <v>75754738</v>
      </c>
      <c r="BB17" s="67">
        <f>BA17/BA$24</f>
        <v>1.8940192551276269E-2</v>
      </c>
    </row>
    <row r="18" spans="1:54" x14ac:dyDescent="0.25">
      <c r="A18" s="56"/>
      <c r="B18" s="55" t="s">
        <v>7</v>
      </c>
      <c r="C18" s="8">
        <v>91915</v>
      </c>
      <c r="D18" s="54"/>
      <c r="E18" s="8">
        <v>118391</v>
      </c>
      <c r="F18" s="54"/>
      <c r="G18" s="8">
        <v>88482</v>
      </c>
      <c r="H18" s="54"/>
      <c r="I18" s="8">
        <v>57966002</v>
      </c>
      <c r="J18" s="54"/>
      <c r="K18" s="8">
        <v>140569931</v>
      </c>
      <c r="L18" s="54"/>
      <c r="M18" s="8">
        <v>218039900</v>
      </c>
      <c r="N18" s="54"/>
      <c r="O18" s="8">
        <v>253966495</v>
      </c>
      <c r="P18" s="54"/>
      <c r="Q18" s="8">
        <v>301476661</v>
      </c>
      <c r="R18" s="54"/>
      <c r="S18" s="8">
        <v>346340954</v>
      </c>
      <c r="T18" s="54"/>
      <c r="U18" s="8">
        <f>U17+U16</f>
        <v>349980048.97000003</v>
      </c>
      <c r="V18" s="54"/>
      <c r="W18" s="8">
        <v>343949753</v>
      </c>
      <c r="X18" s="54"/>
      <c r="Y18" s="8">
        <v>545194498</v>
      </c>
      <c r="Z18" s="73"/>
      <c r="AA18" s="8">
        <f>AA17+AA16</f>
        <v>744074230</v>
      </c>
      <c r="AB18" s="73"/>
      <c r="AC18" s="8">
        <f>AC17+AC16</f>
        <v>696060426</v>
      </c>
      <c r="AD18" s="14"/>
      <c r="AE18" s="8">
        <f>AE17+AE16</f>
        <v>694043355</v>
      </c>
      <c r="AF18" s="14"/>
      <c r="AG18" s="8">
        <f>AG17+AG16</f>
        <v>538390869</v>
      </c>
      <c r="AH18" s="14"/>
      <c r="AI18" s="8">
        <f>AI17+AI16</f>
        <v>754378393.88</v>
      </c>
      <c r="AJ18" s="73"/>
      <c r="AK18" s="8">
        <f>AK17+AK16</f>
        <v>664915613.52999997</v>
      </c>
      <c r="AL18" s="73"/>
      <c r="AM18" s="8">
        <f>AM17+AM16</f>
        <v>762556284.30000007</v>
      </c>
      <c r="AN18" s="73"/>
      <c r="AO18" s="8">
        <f>AO17+AO16</f>
        <v>781218539.02999997</v>
      </c>
      <c r="AP18" s="73">
        <f>AO18/AO$24</f>
        <v>0.49303132382336812</v>
      </c>
      <c r="AQ18" s="8">
        <f>AQ17+AQ16</f>
        <v>958104421</v>
      </c>
      <c r="AR18" s="73"/>
      <c r="AS18" s="8">
        <f>AS17+AS16</f>
        <v>1111533238</v>
      </c>
      <c r="AT18" s="73"/>
      <c r="AU18" s="8">
        <f>AU17+AU16</f>
        <v>1394065188</v>
      </c>
      <c r="AV18" s="73"/>
      <c r="AW18" s="8">
        <f>AW17+AW16</f>
        <v>1695042119</v>
      </c>
      <c r="AX18" s="73"/>
      <c r="AY18" s="8">
        <f>AY17+AY16</f>
        <v>2126005577</v>
      </c>
      <c r="AZ18" s="73"/>
      <c r="BA18" s="8">
        <f>BA17+BA16</f>
        <v>2661149743</v>
      </c>
      <c r="BB18" s="73"/>
    </row>
    <row r="19" spans="1:54" x14ac:dyDescent="0.25">
      <c r="A19" s="56"/>
      <c r="B19" s="72" t="s">
        <v>6</v>
      </c>
      <c r="C19" s="30"/>
      <c r="D19" s="71"/>
      <c r="E19" s="30"/>
      <c r="F19" s="71"/>
      <c r="G19" s="30"/>
      <c r="H19" s="71"/>
      <c r="I19" s="30"/>
      <c r="J19" s="71"/>
      <c r="K19" s="30"/>
      <c r="L19" s="71"/>
      <c r="M19" s="30"/>
      <c r="N19" s="71"/>
      <c r="O19" s="30"/>
      <c r="P19" s="71"/>
      <c r="Q19" s="30"/>
      <c r="R19" s="71"/>
      <c r="S19" s="30"/>
      <c r="T19" s="71"/>
      <c r="U19" s="30"/>
      <c r="V19" s="71"/>
      <c r="W19" s="30"/>
      <c r="X19" s="71"/>
      <c r="Y19" s="30"/>
      <c r="Z19" s="70"/>
      <c r="AA19" s="30"/>
      <c r="AB19" s="70"/>
      <c r="AC19" s="30"/>
      <c r="AD19" s="29"/>
      <c r="AE19" s="30"/>
      <c r="AF19" s="29"/>
      <c r="AG19" s="30"/>
      <c r="AH19" s="29"/>
      <c r="AI19" s="30"/>
      <c r="AJ19" s="70"/>
      <c r="AK19" s="30"/>
      <c r="AL19" s="70"/>
      <c r="AM19" s="30"/>
      <c r="AN19" s="70"/>
      <c r="AO19" s="30"/>
      <c r="AP19" s="70"/>
      <c r="AQ19" s="30"/>
      <c r="AR19" s="70"/>
      <c r="AS19" s="30"/>
      <c r="AT19" s="70"/>
      <c r="AU19" s="30"/>
      <c r="AV19" s="70"/>
      <c r="AW19" s="30"/>
      <c r="AX19" s="70"/>
      <c r="AY19" s="30"/>
      <c r="AZ19" s="70"/>
      <c r="BA19" s="30"/>
      <c r="BB19" s="70"/>
    </row>
    <row r="20" spans="1:54" x14ac:dyDescent="0.25">
      <c r="A20" s="56"/>
      <c r="B20" s="65" t="s">
        <v>27</v>
      </c>
      <c r="C20" s="20">
        <v>26000000</v>
      </c>
      <c r="D20" s="62">
        <f>C20/C24</f>
        <v>0.98449779480067023</v>
      </c>
      <c r="E20" s="20">
        <v>46000000</v>
      </c>
      <c r="F20" s="62">
        <f>E20/E24</f>
        <v>0.98347009126345886</v>
      </c>
      <c r="G20" s="20">
        <v>68000000</v>
      </c>
      <c r="H20" s="62">
        <f>G20/G24</f>
        <v>0.98712560303757124</v>
      </c>
      <c r="I20" s="20">
        <v>79157088</v>
      </c>
      <c r="J20" s="62">
        <f>I20/I24</f>
        <v>0.57059208552887397</v>
      </c>
      <c r="K20" s="20">
        <v>96000000</v>
      </c>
      <c r="L20" s="62">
        <f>K20/K24</f>
        <v>0.39894577415587468</v>
      </c>
      <c r="M20" s="20">
        <v>116000000</v>
      </c>
      <c r="N20" s="62">
        <f>M20/M24</f>
        <v>0.33941287430543216</v>
      </c>
      <c r="O20" s="20">
        <v>136000000</v>
      </c>
      <c r="P20" s="62">
        <f>O20/O24</f>
        <v>0.33905903066338933</v>
      </c>
      <c r="Q20" s="20">
        <v>176000000</v>
      </c>
      <c r="R20" s="62">
        <f>Q20/Q24</f>
        <v>0.35726183446827064</v>
      </c>
      <c r="S20" s="20">
        <v>216000000</v>
      </c>
      <c r="T20" s="62">
        <f>S20/S24</f>
        <v>0.37112076994914167</v>
      </c>
      <c r="U20" s="20">
        <v>266000000</v>
      </c>
      <c r="V20" s="62">
        <f>U20/U24</f>
        <v>0.41493798913585977</v>
      </c>
      <c r="W20" s="20">
        <v>316000000</v>
      </c>
      <c r="X20" s="62">
        <f>W20/$C$63</f>
        <v>0.45659241046980326</v>
      </c>
      <c r="Y20" s="20">
        <v>366000000</v>
      </c>
      <c r="Z20" s="62">
        <v>0.38189269596975511</v>
      </c>
      <c r="AA20" s="20">
        <v>466000000</v>
      </c>
      <c r="AB20" s="62">
        <f>AA20/$G$63</f>
        <v>0.36503746719508084</v>
      </c>
      <c r="AC20" s="20">
        <v>486000000</v>
      </c>
      <c r="AD20" s="21">
        <f>AC20/AC24</f>
        <v>0.3872039493477098</v>
      </c>
      <c r="AE20" s="20">
        <v>526000000</v>
      </c>
      <c r="AF20" s="21">
        <f>AE20/AE24</f>
        <v>0.40496851716235016</v>
      </c>
      <c r="AG20" s="20">
        <v>566000000</v>
      </c>
      <c r="AH20" s="21">
        <f>AG20/AG24</f>
        <v>0.47623163140205516</v>
      </c>
      <c r="AI20" s="20">
        <f>'[1]1230(dekabr2019)'!J62</f>
        <v>566000000</v>
      </c>
      <c r="AJ20" s="62">
        <f>AI20/AI24</f>
        <v>0.40251492192823674</v>
      </c>
      <c r="AK20" s="20">
        <f>'[1]1230(dekabr2019)'!J62</f>
        <v>566000000</v>
      </c>
      <c r="AL20" s="62">
        <f>AK20/AK$24</f>
        <v>0.42940268350018868</v>
      </c>
      <c r="AM20" s="20">
        <f>'[1]1230(iyun2020)'!I69+35500000+40000000</f>
        <v>641500000</v>
      </c>
      <c r="AN20" s="62">
        <f>AM20/AM$24</f>
        <v>0.42966177140683709</v>
      </c>
      <c r="AO20" s="20">
        <f>566000000+53250000+90000000</f>
        <v>709250000</v>
      </c>
      <c r="AP20" s="62">
        <f>AO20/AO$24</f>
        <v>0.44761158235684867</v>
      </c>
      <c r="AQ20" s="20">
        <f>637000000+90000000</f>
        <v>727000000</v>
      </c>
      <c r="AR20" s="62">
        <f>AQ20/AQ$24</f>
        <v>0.40884804555525966</v>
      </c>
      <c r="AS20" s="20">
        <v>798000000</v>
      </c>
      <c r="AT20" s="62">
        <f>AS20/AS$24</f>
        <v>0.39658139443099294</v>
      </c>
      <c r="AU20" s="63">
        <v>893000000</v>
      </c>
      <c r="AV20" s="62">
        <f>AU20/AU$24</f>
        <v>0.37208629203949889</v>
      </c>
      <c r="AW20" s="20">
        <v>980700000</v>
      </c>
      <c r="AX20" s="62">
        <f>AW20/AW$24</f>
        <v>0.34876890675016559</v>
      </c>
      <c r="AY20" s="20">
        <v>1068400000</v>
      </c>
      <c r="AZ20" s="62">
        <f>AY20/AY$24</f>
        <v>0.31856413205907569</v>
      </c>
      <c r="BA20" s="20">
        <v>1153400000</v>
      </c>
      <c r="BB20" s="62">
        <f>BA20/BA$24</f>
        <v>0.28837296075978835</v>
      </c>
    </row>
    <row r="21" spans="1:54" x14ac:dyDescent="0.25">
      <c r="A21" s="56"/>
      <c r="B21" s="69" t="s">
        <v>26</v>
      </c>
      <c r="C21" s="13">
        <v>317489</v>
      </c>
      <c r="D21" s="67">
        <f>C21/C24</f>
        <v>1.2021816168210384E-2</v>
      </c>
      <c r="E21" s="13">
        <v>654765</v>
      </c>
      <c r="F21" s="67">
        <f>E21/E24</f>
        <v>1.3998734658828666E-2</v>
      </c>
      <c r="G21" s="13">
        <v>798395</v>
      </c>
      <c r="H21" s="67">
        <f>G21/G24</f>
        <v>1.1589943321135025E-2</v>
      </c>
      <c r="I21" s="13">
        <v>1604891</v>
      </c>
      <c r="J21" s="67">
        <f>I21/I24</f>
        <v>1.1568617869526985E-2</v>
      </c>
      <c r="K21" s="13">
        <v>4064276</v>
      </c>
      <c r="L21" s="67">
        <f>K21/K24</f>
        <v>1.6889851408366061E-2</v>
      </c>
      <c r="M21" s="13">
        <v>7726747</v>
      </c>
      <c r="N21" s="67">
        <f>M21/M24</f>
        <v>2.2608253519835128E-2</v>
      </c>
      <c r="O21" s="13">
        <v>11143600</v>
      </c>
      <c r="P21" s="67">
        <f>O21/O24</f>
        <v>2.7781898633092245E-2</v>
      </c>
      <c r="Q21" s="13">
        <v>15159224</v>
      </c>
      <c r="R21" s="67">
        <f>Q21/Q24</f>
        <v>3.0771660087246792E-2</v>
      </c>
      <c r="S21" s="13">
        <v>19679826</v>
      </c>
      <c r="T21" s="67">
        <f>S21/S24</f>
        <v>3.3812926748079342E-2</v>
      </c>
      <c r="U21" s="13">
        <v>25079596</v>
      </c>
      <c r="V21" s="67">
        <f>U21/U24</f>
        <v>3.9122094483382525E-2</v>
      </c>
      <c r="W21" s="13">
        <v>25079596</v>
      </c>
      <c r="X21" s="67">
        <f>W21/$C$63</f>
        <v>3.6237826554584927E-2</v>
      </c>
      <c r="Y21" s="13">
        <v>32133586</v>
      </c>
      <c r="Z21" s="67">
        <v>3.3528911991027269E-2</v>
      </c>
      <c r="AA21" s="13">
        <v>47189893</v>
      </c>
      <c r="AB21" s="67">
        <f>AA21/$G$63</f>
        <v>3.696583480241819E-2</v>
      </c>
      <c r="AC21" s="13">
        <v>66592693</v>
      </c>
      <c r="AD21" s="21">
        <f>AC21/AC24</f>
        <v>5.3055460344237838E-2</v>
      </c>
      <c r="AE21" s="13">
        <v>67098865</v>
      </c>
      <c r="AF21" s="21">
        <f>AE21/AE24</f>
        <v>5.1659558673624942E-2</v>
      </c>
      <c r="AG21" s="13">
        <v>67139409</v>
      </c>
      <c r="AH21" s="21">
        <f>AG21/AG24</f>
        <v>5.6491007560847746E-2</v>
      </c>
      <c r="AI21" s="13">
        <f>'[1]1230(dekabr2019)'!J63</f>
        <v>67098864.659999996</v>
      </c>
      <c r="AJ21" s="67">
        <f>AI21/AI24</f>
        <v>4.7717834399457995E-2</v>
      </c>
      <c r="AK21" s="13">
        <f>'[1]1230(mart2020)'!J65+'[1]1230(mart2020)'!J66</f>
        <v>85793714.659999996</v>
      </c>
      <c r="AL21" s="67">
        <f>AK21/AK$24</f>
        <v>6.5088429862992001E-2</v>
      </c>
      <c r="AM21" s="13">
        <f>+'[1]1230(iyun2020)'!I70</f>
        <v>85834259.079999998</v>
      </c>
      <c r="AN21" s="67">
        <f>AM21/AM$24</f>
        <v>5.7489789249736849E-2</v>
      </c>
      <c r="AO21" s="13">
        <v>85834259.079999998</v>
      </c>
      <c r="AP21" s="67">
        <f>AO21/AO$24</f>
        <v>5.4170473778253798E-2</v>
      </c>
      <c r="AQ21" s="13">
        <v>85834261</v>
      </c>
      <c r="AR21" s="67">
        <f>AQ21/AQ$24</f>
        <v>4.8271210249697452E-2</v>
      </c>
      <c r="AS21" s="13">
        <v>93062328</v>
      </c>
      <c r="AT21" s="67">
        <f>AS21/AS$24</f>
        <v>4.6249107527862703E-2</v>
      </c>
      <c r="AU21" s="68">
        <v>102664034</v>
      </c>
      <c r="AV21" s="67">
        <f>AU21/AU$24</f>
        <v>4.2777020981945177E-2</v>
      </c>
      <c r="AW21" s="13">
        <v>112915728</v>
      </c>
      <c r="AX21" s="67">
        <f>AW21/AW$24</f>
        <v>4.0156515763698442E-2</v>
      </c>
      <c r="AY21" s="13">
        <v>136148451</v>
      </c>
      <c r="AZ21" s="67">
        <f>AY21/AY$24</f>
        <v>4.0595294949459564E-2</v>
      </c>
      <c r="BA21" s="13">
        <v>159393211</v>
      </c>
      <c r="BB21" s="67">
        <f>BA21/BA$24</f>
        <v>3.9851475794242822E-2</v>
      </c>
    </row>
    <row r="22" spans="1:54" x14ac:dyDescent="0.25">
      <c r="A22" s="56"/>
      <c r="B22" s="65" t="s">
        <v>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65"/>
      <c r="O22" s="65"/>
      <c r="P22" s="65"/>
      <c r="Q22" s="65"/>
      <c r="R22" s="65"/>
      <c r="S22" s="65"/>
      <c r="T22" s="65"/>
      <c r="U22" s="65"/>
      <c r="V22" s="65"/>
      <c r="W22" s="20">
        <v>7053990</v>
      </c>
      <c r="X22" s="62">
        <f>W22/$C$63</f>
        <v>1.0192399675727493E-2</v>
      </c>
      <c r="Y22" s="20">
        <v>15056310</v>
      </c>
      <c r="Z22" s="64">
        <v>1.5710095129115802E-2</v>
      </c>
      <c r="AA22" s="20">
        <v>19317165</v>
      </c>
      <c r="AB22" s="62">
        <f>AA22/$G$63</f>
        <v>1.5131950611565375E-2</v>
      </c>
      <c r="AC22" s="20">
        <v>6499368</v>
      </c>
      <c r="AD22" s="21">
        <f>AC22/AC24</f>
        <v>5.178150119061988E-3</v>
      </c>
      <c r="AE22" s="20">
        <v>11724180</v>
      </c>
      <c r="AF22" s="21">
        <f>AE22/AE24</f>
        <v>9.0264710827841869E-3</v>
      </c>
      <c r="AG22" s="20">
        <v>16967005</v>
      </c>
      <c r="AH22" s="21">
        <f>AG22/AG24</f>
        <v>1.4276014966708174E-2</v>
      </c>
      <c r="AI22" s="20">
        <f>'[1]1230(dekabr2019)'!J64</f>
        <v>18681790.890000001</v>
      </c>
      <c r="AJ22" s="62">
        <f>AI22/AI24</f>
        <v>1.3285688341992924E-2</v>
      </c>
      <c r="AK22" s="20">
        <f>'[1]1230(mart2020)'!J67</f>
        <v>1400739</v>
      </c>
      <c r="AL22" s="62">
        <f>AK22/AK$24</f>
        <v>1.0626874301826337E-3</v>
      </c>
      <c r="AM22" s="20">
        <f>+'[1]1230(iyun2020)'!I71</f>
        <v>3144310.29</v>
      </c>
      <c r="AN22" s="62">
        <f>AM22/AM$24</f>
        <v>2.105985859788224E-3</v>
      </c>
      <c r="AO22" s="20">
        <v>8218308.9299999997</v>
      </c>
      <c r="AP22" s="62">
        <f>AO22/AO$24</f>
        <v>5.1866200415293905E-3</v>
      </c>
      <c r="AQ22" s="20">
        <v>7228067</v>
      </c>
      <c r="AR22" s="62">
        <f>AQ22/AQ$24</f>
        <v>4.0648983027406728E-3</v>
      </c>
      <c r="AS22" s="20">
        <v>9601706</v>
      </c>
      <c r="AT22" s="62">
        <f>AS22/AS$24</f>
        <v>4.7717518225519192E-3</v>
      </c>
      <c r="AU22" s="63">
        <v>10251694</v>
      </c>
      <c r="AV22" s="62">
        <f>AU22/AU$24</f>
        <v>4.2715731327923612E-3</v>
      </c>
      <c r="AW22" s="20">
        <v>23232723</v>
      </c>
      <c r="AX22" s="62">
        <f>AW22/AW$24</f>
        <v>8.2623140629544487E-3</v>
      </c>
      <c r="AY22" s="20">
        <v>23244760</v>
      </c>
      <c r="AZ22" s="62">
        <f>AY22/AY$24</f>
        <v>6.9308749478861099E-3</v>
      </c>
      <c r="BA22" s="20">
        <v>25738559</v>
      </c>
      <c r="BB22" s="62">
        <f>BA22/BA$24</f>
        <v>6.4351521280739538E-3</v>
      </c>
    </row>
    <row r="23" spans="1:54" x14ac:dyDescent="0.25">
      <c r="A23" s="56"/>
      <c r="B23" s="61" t="s">
        <v>2</v>
      </c>
      <c r="C23" s="60">
        <v>26317489</v>
      </c>
      <c r="D23" s="59"/>
      <c r="E23" s="60">
        <v>46654765</v>
      </c>
      <c r="F23" s="59"/>
      <c r="G23" s="60">
        <v>68798395</v>
      </c>
      <c r="H23" s="59"/>
      <c r="I23" s="60">
        <v>80761979</v>
      </c>
      <c r="J23" s="59"/>
      <c r="K23" s="60">
        <v>100064276</v>
      </c>
      <c r="L23" s="59"/>
      <c r="M23" s="60">
        <v>123726747</v>
      </c>
      <c r="N23" s="59"/>
      <c r="O23" s="60">
        <v>147143600</v>
      </c>
      <c r="P23" s="59"/>
      <c r="Q23" s="60">
        <v>191159224</v>
      </c>
      <c r="R23" s="59"/>
      <c r="S23" s="60">
        <v>235679826</v>
      </c>
      <c r="T23" s="59"/>
      <c r="U23" s="60">
        <f>U21+U20</f>
        <v>291079596</v>
      </c>
      <c r="V23" s="59"/>
      <c r="W23" s="15">
        <v>348133586</v>
      </c>
      <c r="X23" s="58"/>
      <c r="Y23" s="15">
        <v>413189896</v>
      </c>
      <c r="Z23" s="57"/>
      <c r="AA23" s="15">
        <f>SUM(AA20:AA22)</f>
        <v>532507058</v>
      </c>
      <c r="AB23" s="57"/>
      <c r="AC23" s="15">
        <f>SUM(AC20:AC22)</f>
        <v>559092061</v>
      </c>
      <c r="AD23" s="14"/>
      <c r="AE23" s="15">
        <f>SUM(AE20:AE22)</f>
        <v>604823045</v>
      </c>
      <c r="AF23" s="14"/>
      <c r="AG23" s="15">
        <f>SUM(AG20:AG22)</f>
        <v>650106414</v>
      </c>
      <c r="AH23" s="14"/>
      <c r="AI23" s="15">
        <f>SUM(AI20:AI22)</f>
        <v>651780655.54999995</v>
      </c>
      <c r="AJ23" s="57"/>
      <c r="AK23" s="15">
        <f>SUM(AK20:AK22)</f>
        <v>653194453.65999997</v>
      </c>
      <c r="AL23" s="57"/>
      <c r="AM23" s="15">
        <f>SUM(AM20:AM22)</f>
        <v>730478569.37</v>
      </c>
      <c r="AN23" s="57"/>
      <c r="AO23" s="15">
        <f>SUM(AO20:AO22)</f>
        <v>803302568.00999999</v>
      </c>
      <c r="AP23" s="57">
        <f>AO23/AO$24</f>
        <v>0.50696867617663188</v>
      </c>
      <c r="AQ23" s="15">
        <f>SUM(AQ20:AQ22)</f>
        <v>820062328</v>
      </c>
      <c r="AR23" s="57"/>
      <c r="AS23" s="15">
        <f>SUM(AS20:AS22)</f>
        <v>900664034</v>
      </c>
      <c r="AT23" s="57"/>
      <c r="AU23" s="15">
        <f>SUM(AU20:AU22)</f>
        <v>1005915728</v>
      </c>
      <c r="AV23" s="57"/>
      <c r="AW23" s="15">
        <f>SUM(AW20:AW22)</f>
        <v>1116848451</v>
      </c>
      <c r="AX23" s="57"/>
      <c r="AY23" s="15">
        <f>SUM(AY20:AY22)</f>
        <v>1227793211</v>
      </c>
      <c r="AZ23" s="57"/>
      <c r="BA23" s="15">
        <f>SUM(BA20:BA22)</f>
        <v>1338531770</v>
      </c>
      <c r="BB23" s="57"/>
    </row>
    <row r="24" spans="1:54" x14ac:dyDescent="0.25">
      <c r="A24" s="56"/>
      <c r="B24" s="55" t="s">
        <v>1</v>
      </c>
      <c r="C24" s="8">
        <v>26409404</v>
      </c>
      <c r="D24" s="54">
        <f>SUM(D16:D21)</f>
        <v>1</v>
      </c>
      <c r="E24" s="8">
        <v>46773156</v>
      </c>
      <c r="F24" s="54">
        <f>SUM(F16:F23)</f>
        <v>0.99999999999999989</v>
      </c>
      <c r="G24" s="8">
        <v>68886877</v>
      </c>
      <c r="H24" s="54">
        <f>SUM(H16:H23)</f>
        <v>1</v>
      </c>
      <c r="I24" s="8">
        <v>138727981</v>
      </c>
      <c r="J24" s="54">
        <f>SUM(J16:J23)</f>
        <v>1</v>
      </c>
      <c r="K24" s="8">
        <v>240634207</v>
      </c>
      <c r="L24" s="54">
        <f>SUM(L16:L23)</f>
        <v>0.99999999999999989</v>
      </c>
      <c r="M24" s="8">
        <v>341766647</v>
      </c>
      <c r="N24" s="54">
        <f>SUM(N16:N23)</f>
        <v>1</v>
      </c>
      <c r="O24" s="8">
        <v>401110095</v>
      </c>
      <c r="P24" s="54">
        <f>SUM(P16:P23)</f>
        <v>1</v>
      </c>
      <c r="Q24" s="8">
        <v>492635885</v>
      </c>
      <c r="R24" s="54">
        <f>SUM(R16:R23)</f>
        <v>1</v>
      </c>
      <c r="S24" s="8">
        <v>582020780</v>
      </c>
      <c r="T24" s="54">
        <f>SUM(T16:T23)</f>
        <v>1</v>
      </c>
      <c r="U24" s="8">
        <f>U23+U18</f>
        <v>641059644.97000003</v>
      </c>
      <c r="V24" s="54">
        <f>SUM(V16:V23)</f>
        <v>1</v>
      </c>
      <c r="W24" s="8">
        <v>692083339</v>
      </c>
      <c r="X24" s="54">
        <f>SUM(X16:X23)</f>
        <v>1</v>
      </c>
      <c r="Y24" s="8">
        <v>958384394</v>
      </c>
      <c r="Z24" s="54">
        <f>SUM(Z16:Z23)</f>
        <v>1</v>
      </c>
      <c r="AA24" s="8">
        <f>AA23+AA18</f>
        <v>1276581288</v>
      </c>
      <c r="AB24" s="54">
        <f>SUM(AB16:AB23)</f>
        <v>1.0000000000861677</v>
      </c>
      <c r="AC24" s="8">
        <f>AC23+AC18</f>
        <v>1255152487</v>
      </c>
      <c r="AD24" s="9">
        <f>SUM(AD16:AD23)</f>
        <v>0.99999999999999989</v>
      </c>
      <c r="AE24" s="8">
        <f>AE23+AE18</f>
        <v>1298866400</v>
      </c>
      <c r="AF24" s="9">
        <f>SUM(AF16:AF23)</f>
        <v>1</v>
      </c>
      <c r="AG24" s="8">
        <f>AG23+AG18</f>
        <v>1188497283</v>
      </c>
      <c r="AH24" s="9">
        <f>SUM(AH16:AH23)</f>
        <v>1.0000000000000002</v>
      </c>
      <c r="AI24" s="8">
        <f>AI23+AI18</f>
        <v>1406159049.4299998</v>
      </c>
      <c r="AJ24" s="54">
        <f>SUM(AJ16:AJ23)</f>
        <v>1.0000000000000002</v>
      </c>
      <c r="AK24" s="8">
        <f>AK23+AK18</f>
        <v>1318110067.1900001</v>
      </c>
      <c r="AL24" s="54">
        <f>SUM(AL16:AL23)</f>
        <v>1</v>
      </c>
      <c r="AM24" s="8">
        <f>AM23+AM18</f>
        <v>1493034853.6700001</v>
      </c>
      <c r="AN24" s="54">
        <f>SUM(AN16:AN23)</f>
        <v>1</v>
      </c>
      <c r="AO24" s="8">
        <f>AO23+AO18</f>
        <v>1584521107.04</v>
      </c>
      <c r="AP24" s="54">
        <f>AO24/AO$24</f>
        <v>1</v>
      </c>
      <c r="AQ24" s="8">
        <f>AQ23+AQ18</f>
        <v>1778166749</v>
      </c>
      <c r="AR24" s="54">
        <f>AQ24/AQ$24</f>
        <v>1</v>
      </c>
      <c r="AS24" s="8">
        <f>AS23+AS18</f>
        <v>2012197272</v>
      </c>
      <c r="AT24" s="54">
        <f>AS24/AS$24</f>
        <v>1</v>
      </c>
      <c r="AU24" s="8">
        <f>AU23+AU18</f>
        <v>2399980916</v>
      </c>
      <c r="AV24" s="54">
        <f>AU24/AU$24</f>
        <v>1</v>
      </c>
      <c r="AW24" s="8">
        <f>AW23+AW18</f>
        <v>2811890570</v>
      </c>
      <c r="AX24" s="54">
        <f>AW24/AW$24</f>
        <v>1</v>
      </c>
      <c r="AY24" s="8">
        <f>AY23+AY18</f>
        <v>3353798788</v>
      </c>
      <c r="AZ24" s="54">
        <f>AY24/AY$24</f>
        <v>1</v>
      </c>
      <c r="BA24" s="8">
        <f>BA23+BA18</f>
        <v>3999681513</v>
      </c>
      <c r="BB24" s="54">
        <f>BA24/BA$24</f>
        <v>1</v>
      </c>
    </row>
    <row r="25" spans="1:54" hidden="1" x14ac:dyDescent="0.25">
      <c r="B25" s="12"/>
      <c r="C25" s="52"/>
      <c r="D25" s="53"/>
      <c r="E25" s="52"/>
      <c r="F25" s="53"/>
      <c r="G25" s="52"/>
      <c r="H25" s="53"/>
      <c r="I25" s="52"/>
      <c r="J25" s="53"/>
      <c r="K25" s="52"/>
      <c r="L25" s="51"/>
    </row>
    <row r="26" spans="1:54" hidden="1" x14ac:dyDescent="0.25">
      <c r="B26" s="50" t="s">
        <v>25</v>
      </c>
      <c r="C26" s="49">
        <v>2011</v>
      </c>
      <c r="D26" s="49"/>
      <c r="E26" s="49">
        <v>2012</v>
      </c>
      <c r="F26" s="49"/>
      <c r="G26" s="49">
        <v>2013</v>
      </c>
      <c r="H26" s="49"/>
      <c r="I26" s="49">
        <v>2014</v>
      </c>
      <c r="J26" s="49"/>
      <c r="K26" s="49">
        <v>2015</v>
      </c>
      <c r="L26" s="49"/>
      <c r="AG26" s="2">
        <f>AG24-AE24</f>
        <v>-110369117</v>
      </c>
    </row>
    <row r="27" spans="1:54" hidden="1" x14ac:dyDescent="0.25">
      <c r="B27" s="48" t="s">
        <v>20</v>
      </c>
      <c r="C27" s="47" t="s">
        <v>19</v>
      </c>
      <c r="D27" s="47" t="s">
        <v>18</v>
      </c>
      <c r="E27" s="47" t="s">
        <v>19</v>
      </c>
      <c r="F27" s="47" t="s">
        <v>18</v>
      </c>
      <c r="G27" s="47" t="s">
        <v>19</v>
      </c>
      <c r="H27" s="47" t="s">
        <v>18</v>
      </c>
      <c r="I27" s="47" t="s">
        <v>19</v>
      </c>
      <c r="J27" s="47" t="s">
        <v>18</v>
      </c>
      <c r="K27" s="47" t="s">
        <v>19</v>
      </c>
      <c r="L27" s="47" t="s">
        <v>18</v>
      </c>
    </row>
    <row r="28" spans="1:54" hidden="1" x14ac:dyDescent="0.25">
      <c r="B28" s="25" t="s">
        <v>17</v>
      </c>
      <c r="C28" s="23">
        <v>2232915</v>
      </c>
      <c r="D28" s="22">
        <f>C28/C34</f>
        <v>6.5334491226699482E-3</v>
      </c>
      <c r="E28" s="23">
        <v>1854497</v>
      </c>
      <c r="F28" s="22">
        <f>E28/E34</f>
        <v>4.6234114352070848E-3</v>
      </c>
      <c r="G28" s="23">
        <v>2968642</v>
      </c>
      <c r="H28" s="22">
        <f>G28/G34</f>
        <v>6.0260368568156577E-3</v>
      </c>
      <c r="I28" s="23">
        <v>1448187</v>
      </c>
      <c r="J28" s="22">
        <f>I28/I34</f>
        <v>2.4882049743997115E-3</v>
      </c>
      <c r="K28" s="23">
        <v>2457990.7799999998</v>
      </c>
      <c r="L28" s="22">
        <f>K28/K34</f>
        <v>3.8342622239386603E-3</v>
      </c>
    </row>
    <row r="29" spans="1:54" hidden="1" x14ac:dyDescent="0.25">
      <c r="B29" s="28" t="s">
        <v>16</v>
      </c>
      <c r="C29" s="27">
        <v>32062028</v>
      </c>
      <c r="D29" s="26">
        <f>C29/C34</f>
        <v>9.3812629996045227E-2</v>
      </c>
      <c r="E29" s="27">
        <v>27204567</v>
      </c>
      <c r="F29" s="26">
        <f>E29/E34</f>
        <v>6.7823192034097271E-2</v>
      </c>
      <c r="G29" s="27">
        <v>32810114</v>
      </c>
      <c r="H29" s="26">
        <f>G29/G34</f>
        <v>6.6601144981551633E-2</v>
      </c>
      <c r="I29" s="27">
        <v>40855701</v>
      </c>
      <c r="J29" s="26">
        <f>I29/I34</f>
        <v>7.0196292647832947E-2</v>
      </c>
      <c r="K29" s="27">
        <v>30217572.77</v>
      </c>
      <c r="L29" s="26">
        <f>K29/K34</f>
        <v>4.71369130892869E-2</v>
      </c>
    </row>
    <row r="30" spans="1:54" hidden="1" x14ac:dyDescent="0.25">
      <c r="B30" s="25" t="s">
        <v>15</v>
      </c>
      <c r="C30" s="23">
        <v>19119550</v>
      </c>
      <c r="D30" s="22">
        <f>C30/C34</f>
        <v>5.5943288111434702E-2</v>
      </c>
      <c r="E30" s="23">
        <v>31742704</v>
      </c>
      <c r="F30" s="22">
        <f>E30/E34</f>
        <v>7.9137135653491841E-2</v>
      </c>
      <c r="G30" s="23">
        <v>42149125</v>
      </c>
      <c r="H30" s="22">
        <f>G30/G34</f>
        <v>8.5558373401888904E-2</v>
      </c>
      <c r="I30" s="23">
        <v>53548877</v>
      </c>
      <c r="J30" s="22">
        <f>I30/I34</f>
        <v>9.2005094732184642E-2</v>
      </c>
      <c r="K30" s="23">
        <v>42707864.739999995</v>
      </c>
      <c r="L30" s="22">
        <f>K30/K34</f>
        <v>6.6620735020683802E-2</v>
      </c>
    </row>
    <row r="31" spans="1:54" hidden="1" x14ac:dyDescent="0.25">
      <c r="B31" s="28" t="s">
        <v>14</v>
      </c>
      <c r="C31" s="27">
        <v>278078357</v>
      </c>
      <c r="D31" s="26">
        <f>C31/C34</f>
        <v>0.81364977958191453</v>
      </c>
      <c r="E31" s="27">
        <v>328936182</v>
      </c>
      <c r="F31" s="26">
        <f>E31/E34</f>
        <v>0.82006458102232505</v>
      </c>
      <c r="G31" s="27">
        <v>403521646</v>
      </c>
      <c r="H31" s="26">
        <f>G31/G34</f>
        <v>0.81910729260009141</v>
      </c>
      <c r="I31" s="27">
        <v>476081984</v>
      </c>
      <c r="J31" s="26">
        <f>I31/I34</f>
        <v>0.81798107620830995</v>
      </c>
      <c r="K31" s="27">
        <v>556188905.13</v>
      </c>
      <c r="L31" s="26">
        <f>K31/K34</f>
        <v>0.86760866870044262</v>
      </c>
    </row>
    <row r="32" spans="1:54" hidden="1" x14ac:dyDescent="0.25">
      <c r="B32" s="25" t="s">
        <v>13</v>
      </c>
      <c r="C32" s="23">
        <v>9065506</v>
      </c>
      <c r="D32" s="22">
        <f>C32/C34</f>
        <v>2.6525426280113285E-2</v>
      </c>
      <c r="E32" s="23">
        <v>11307240</v>
      </c>
      <c r="F32" s="22">
        <f>E32/E34</f>
        <v>2.8189866425575753E-2</v>
      </c>
      <c r="G32" s="23">
        <v>11175414</v>
      </c>
      <c r="H32" s="22">
        <f>G32/G34</f>
        <v>2.2684936969218149E-2</v>
      </c>
      <c r="I32" s="23">
        <v>10039495</v>
      </c>
      <c r="J32" s="22">
        <f>I32/I34</f>
        <v>1.7249375529169251E-2</v>
      </c>
      <c r="K32" s="23">
        <v>9409848.6600000001</v>
      </c>
      <c r="L32" s="22">
        <f>K32/K34</f>
        <v>1.4678585267117164E-2</v>
      </c>
    </row>
    <row r="33" spans="2:18" hidden="1" x14ac:dyDescent="0.25">
      <c r="B33" s="28" t="s">
        <v>12</v>
      </c>
      <c r="C33" s="27">
        <v>1208291</v>
      </c>
      <c r="D33" s="26">
        <f>C33/C34</f>
        <v>3.5354269078222839E-3</v>
      </c>
      <c r="E33" s="27">
        <v>64905</v>
      </c>
      <c r="F33" s="26">
        <f>E33/E34</f>
        <v>1.6181342930299473E-4</v>
      </c>
      <c r="G33" s="27">
        <v>10944</v>
      </c>
      <c r="H33" s="26">
        <f>G33/G34</f>
        <v>2.2215190434208828E-5</v>
      </c>
      <c r="I33" s="27">
        <v>46536</v>
      </c>
      <c r="J33" s="26">
        <f>I33/I34</f>
        <v>7.9955908103487307E-5</v>
      </c>
      <c r="K33" s="27">
        <v>77462.89</v>
      </c>
      <c r="L33" s="26">
        <f>K33/K34</f>
        <v>1.208356985310237E-4</v>
      </c>
    </row>
    <row r="34" spans="2:18" hidden="1" x14ac:dyDescent="0.25">
      <c r="B34" s="12" t="s">
        <v>11</v>
      </c>
      <c r="C34" s="11">
        <v>341766647</v>
      </c>
      <c r="D34" s="10"/>
      <c r="E34" s="11">
        <v>401110095</v>
      </c>
      <c r="F34" s="10"/>
      <c r="G34" s="11">
        <v>492635885</v>
      </c>
      <c r="H34" s="10"/>
      <c r="I34" s="11">
        <v>582020780</v>
      </c>
      <c r="J34" s="10"/>
      <c r="K34" s="11">
        <v>641059644.96999991</v>
      </c>
      <c r="L34" s="10"/>
    </row>
    <row r="35" spans="2:18" hidden="1" x14ac:dyDescent="0.25">
      <c r="B35" s="34" t="s">
        <v>10</v>
      </c>
      <c r="C35" s="39"/>
      <c r="D35" s="40"/>
      <c r="E35" s="39"/>
      <c r="F35" s="40"/>
      <c r="G35" s="39"/>
      <c r="H35" s="40"/>
      <c r="I35" s="39"/>
      <c r="J35" s="40"/>
      <c r="K35" s="39"/>
      <c r="L35" s="40"/>
    </row>
    <row r="36" spans="2:18" hidden="1" x14ac:dyDescent="0.25">
      <c r="B36" s="25" t="s">
        <v>9</v>
      </c>
      <c r="C36" s="23">
        <v>210055131</v>
      </c>
      <c r="D36" s="22">
        <f>C36/C43</f>
        <v>0.6146156532354663</v>
      </c>
      <c r="E36" s="23">
        <v>246362721</v>
      </c>
      <c r="F36" s="22">
        <f>E36/E43</f>
        <v>0.61420224539599289</v>
      </c>
      <c r="G36" s="23">
        <v>294280332</v>
      </c>
      <c r="H36" s="22">
        <f>G36/G43</f>
        <v>0.59735870033097571</v>
      </c>
      <c r="I36" s="23">
        <v>339648251</v>
      </c>
      <c r="J36" s="22">
        <f>I36/I43</f>
        <v>0.5835672241805524</v>
      </c>
      <c r="K36" s="23">
        <v>343680875.74000001</v>
      </c>
      <c r="L36" s="22">
        <f>K36/K43</f>
        <v>0.53611372738348462</v>
      </c>
    </row>
    <row r="37" spans="2:18" hidden="1" x14ac:dyDescent="0.25">
      <c r="B37" s="28" t="s">
        <v>8</v>
      </c>
      <c r="C37" s="27">
        <v>7984769</v>
      </c>
      <c r="D37" s="26">
        <f>C37/C43</f>
        <v>2.3363218939266475E-2</v>
      </c>
      <c r="E37" s="27">
        <v>7603774</v>
      </c>
      <c r="F37" s="26">
        <f>E37/E43</f>
        <v>1.8956825307525606E-2</v>
      </c>
      <c r="G37" s="27">
        <v>7196329</v>
      </c>
      <c r="H37" s="26">
        <f>G37/G43</f>
        <v>1.4607805113506905E-2</v>
      </c>
      <c r="I37" s="27">
        <v>6692703</v>
      </c>
      <c r="J37" s="26">
        <f>I37/I43</f>
        <v>1.149907912222653E-2</v>
      </c>
      <c r="K37" s="27">
        <v>6299173.2299999995</v>
      </c>
      <c r="L37" s="26">
        <f>K37/K43</f>
        <v>9.8261889972730779E-3</v>
      </c>
    </row>
    <row r="38" spans="2:18" hidden="1" x14ac:dyDescent="0.25">
      <c r="B38" s="12" t="s">
        <v>7</v>
      </c>
      <c r="C38" s="11">
        <v>218039900</v>
      </c>
      <c r="D38" s="10"/>
      <c r="E38" s="11">
        <v>253966495</v>
      </c>
      <c r="F38" s="10"/>
      <c r="G38" s="11">
        <v>301476661</v>
      </c>
      <c r="H38" s="10"/>
      <c r="I38" s="11">
        <v>346340954</v>
      </c>
      <c r="J38" s="10"/>
      <c r="K38" s="11">
        <f>K37+K36</f>
        <v>349980048.97000003</v>
      </c>
      <c r="L38" s="10"/>
    </row>
    <row r="39" spans="2:18" hidden="1" x14ac:dyDescent="0.25">
      <c r="B39" s="34" t="s">
        <v>6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</row>
    <row r="40" spans="2:18" hidden="1" x14ac:dyDescent="0.25">
      <c r="B40" s="25" t="s">
        <v>27</v>
      </c>
      <c r="C40" s="23">
        <v>116000000</v>
      </c>
      <c r="D40" s="22">
        <f>C40/C43</f>
        <v>0.33941287430543216</v>
      </c>
      <c r="E40" s="23">
        <v>136000000</v>
      </c>
      <c r="F40" s="22">
        <f>E40/E43</f>
        <v>0.33905903066338933</v>
      </c>
      <c r="G40" s="23">
        <v>176000000</v>
      </c>
      <c r="H40" s="22">
        <f>G40/G43</f>
        <v>0.35726183446827064</v>
      </c>
      <c r="I40" s="23">
        <v>216000000</v>
      </c>
      <c r="J40" s="22">
        <f>I40/I43</f>
        <v>0.37112076994914167</v>
      </c>
      <c r="K40" s="23">
        <v>266000000</v>
      </c>
      <c r="L40" s="22">
        <f>K40/K43</f>
        <v>0.41493798913585977</v>
      </c>
    </row>
    <row r="41" spans="2:18" hidden="1" x14ac:dyDescent="0.25">
      <c r="B41" s="28" t="s">
        <v>26</v>
      </c>
      <c r="C41" s="27">
        <v>7726747</v>
      </c>
      <c r="D41" s="26">
        <f>C41/C43</f>
        <v>2.2608253519835128E-2</v>
      </c>
      <c r="E41" s="27">
        <v>11143600</v>
      </c>
      <c r="F41" s="26">
        <f>E41/E43</f>
        <v>2.7781898633092245E-2</v>
      </c>
      <c r="G41" s="27">
        <v>15159224</v>
      </c>
      <c r="H41" s="26">
        <f>G41/G43</f>
        <v>3.0771660087246792E-2</v>
      </c>
      <c r="I41" s="27">
        <v>19679826</v>
      </c>
      <c r="J41" s="26">
        <f>I41/I43</f>
        <v>3.3812926748079342E-2</v>
      </c>
      <c r="K41" s="27">
        <v>25079596</v>
      </c>
      <c r="L41" s="26">
        <f>K41/K43</f>
        <v>3.9122094483382525E-2</v>
      </c>
    </row>
    <row r="42" spans="2:18" hidden="1" x14ac:dyDescent="0.25">
      <c r="B42" s="12" t="s">
        <v>2</v>
      </c>
      <c r="C42" s="11">
        <v>123726747</v>
      </c>
      <c r="D42" s="10"/>
      <c r="E42" s="11">
        <v>147143600</v>
      </c>
      <c r="F42" s="10"/>
      <c r="G42" s="11">
        <v>191159224</v>
      </c>
      <c r="H42" s="10"/>
      <c r="I42" s="11">
        <v>235679826</v>
      </c>
      <c r="J42" s="10"/>
      <c r="K42" s="11">
        <f>K41+K40</f>
        <v>291079596</v>
      </c>
      <c r="L42" s="10"/>
    </row>
    <row r="43" spans="2:18" hidden="1" x14ac:dyDescent="0.25">
      <c r="B43" s="19" t="s">
        <v>1</v>
      </c>
      <c r="C43" s="17">
        <v>341766647</v>
      </c>
      <c r="D43" s="18"/>
      <c r="E43" s="17">
        <v>401110095</v>
      </c>
      <c r="F43" s="18"/>
      <c r="G43" s="17">
        <v>492635885</v>
      </c>
      <c r="H43" s="18"/>
      <c r="I43" s="17">
        <v>582020780</v>
      </c>
      <c r="J43" s="18"/>
      <c r="K43" s="17">
        <f>K42+K38</f>
        <v>641059644.97000003</v>
      </c>
      <c r="L43" s="18"/>
    </row>
    <row r="44" spans="2:18" x14ac:dyDescent="0.25">
      <c r="K44" s="2"/>
    </row>
    <row r="45" spans="2:18" hidden="1" x14ac:dyDescent="0.25">
      <c r="B45" s="50" t="s">
        <v>25</v>
      </c>
      <c r="C45" s="49">
        <v>2016</v>
      </c>
      <c r="D45" s="49"/>
      <c r="E45" s="49">
        <v>2017</v>
      </c>
      <c r="F45" s="49"/>
      <c r="G45" s="49">
        <v>2018</v>
      </c>
      <c r="H45" s="49"/>
      <c r="I45" s="49" t="s">
        <v>24</v>
      </c>
      <c r="J45" s="49"/>
      <c r="K45" s="49" t="s">
        <v>23</v>
      </c>
      <c r="L45" s="49"/>
      <c r="M45" s="49" t="s">
        <v>22</v>
      </c>
      <c r="N45" s="49"/>
      <c r="O45" s="49">
        <v>2019</v>
      </c>
      <c r="P45" s="49"/>
      <c r="Q45" s="49" t="s">
        <v>21</v>
      </c>
      <c r="R45" s="49"/>
    </row>
    <row r="46" spans="2:18" hidden="1" x14ac:dyDescent="0.25">
      <c r="B46" s="48" t="s">
        <v>20</v>
      </c>
      <c r="C46" s="47" t="s">
        <v>19</v>
      </c>
      <c r="D46" s="47" t="s">
        <v>18</v>
      </c>
      <c r="E46" s="47" t="s">
        <v>19</v>
      </c>
      <c r="F46" s="47" t="s">
        <v>18</v>
      </c>
      <c r="G46" s="47" t="s">
        <v>19</v>
      </c>
      <c r="H46" s="47" t="s">
        <v>18</v>
      </c>
      <c r="I46" s="47" t="s">
        <v>19</v>
      </c>
      <c r="J46" s="47" t="s">
        <v>18</v>
      </c>
      <c r="K46" s="47" t="s">
        <v>19</v>
      </c>
      <c r="L46" s="47" t="s">
        <v>18</v>
      </c>
      <c r="M46" s="47" t="s">
        <v>19</v>
      </c>
      <c r="N46" s="47" t="s">
        <v>18</v>
      </c>
      <c r="O46" s="46" t="str">
        <f>AI6</f>
        <v>Məbləğ</v>
      </c>
      <c r="P46" s="46" t="str">
        <f>AJ6</f>
        <v>payı [%]</v>
      </c>
      <c r="Q46" s="46" t="str">
        <f>AK6</f>
        <v>Məbləğ</v>
      </c>
      <c r="R46" s="46" t="str">
        <f>AL6</f>
        <v>payı [%]</v>
      </c>
    </row>
    <row r="47" spans="2:18" hidden="1" x14ac:dyDescent="0.25">
      <c r="B47" s="25" t="s">
        <v>17</v>
      </c>
      <c r="C47" s="23">
        <v>9999949.0300000012</v>
      </c>
      <c r="D47" s="22">
        <f>C47/$C$53</f>
        <v>1.4449053266401493E-2</v>
      </c>
      <c r="E47" s="23">
        <v>7651669</v>
      </c>
      <c r="F47" s="24">
        <v>7.9839248717983608E-3</v>
      </c>
      <c r="G47" s="23">
        <f>SUM('[1]1230(dekabr2018)'!H5:H6)</f>
        <v>55784138.93</v>
      </c>
      <c r="H47" s="45">
        <f>G47/$G$53</f>
        <v>4.3698070353359889E-2</v>
      </c>
      <c r="I47" s="23">
        <f>SUM('[1]1230(mart2019)'!H5:H6)</f>
        <v>32860175.039999999</v>
      </c>
      <c r="J47" s="45">
        <f>I47/$G$53</f>
        <v>2.5740761948902607E-2</v>
      </c>
      <c r="K47" s="23">
        <f>SUM('[1]1230(iyun2019)'!H5:H6)</f>
        <v>753642.35</v>
      </c>
      <c r="L47" s="45">
        <f>K47/$G$53</f>
        <v>5.9035985968873095E-4</v>
      </c>
      <c r="M47" s="23">
        <f>'[1]1230(sentyabr2019)'!G5+'[1]1230(sentyabr2019)'!G6</f>
        <v>31181338.989999998</v>
      </c>
      <c r="N47" s="45">
        <f>M47/$G$53</f>
        <v>2.4425658816868714E-2</v>
      </c>
      <c r="O47" s="20">
        <f>AI7</f>
        <v>136226504.16</v>
      </c>
      <c r="P47" s="7">
        <f>AJ7</f>
        <v>9.6878446442613106E-2</v>
      </c>
      <c r="Q47" s="20">
        <f>AK7</f>
        <v>10429164.890000001</v>
      </c>
      <c r="R47" s="7">
        <f>Q47/Q$53</f>
        <v>7.9122109371589245E-3</v>
      </c>
    </row>
    <row r="48" spans="2:18" hidden="1" x14ac:dyDescent="0.25">
      <c r="B48" s="28" t="s">
        <v>16</v>
      </c>
      <c r="C48" s="27">
        <v>38984424</v>
      </c>
      <c r="D48" s="26">
        <f>C48/$C$53</f>
        <v>5.6329089002964711E-2</v>
      </c>
      <c r="E48" s="27">
        <v>57834465</v>
      </c>
      <c r="F48" s="44">
        <v>6.0345791690760771E-2</v>
      </c>
      <c r="G48" s="27">
        <f>(SUM('[1]1230(dekabr2018)'!H11:H12))*0.0055043</f>
        <v>285312.80045163503</v>
      </c>
      <c r="H48" s="43">
        <f>G48/$G$53</f>
        <v>2.2349755801545146E-4</v>
      </c>
      <c r="I48" s="27">
        <f>(SUM('[1]1230(mart2019)'!H11:H12))*0.0055043</f>
        <v>276367.69938731397</v>
      </c>
      <c r="J48" s="43">
        <f>I48/$G$53</f>
        <v>2.1649048283020728E-4</v>
      </c>
      <c r="K48" s="27">
        <f>SUM(('[1]1230(iyun2019)'!H11:H12))*0.0055043</f>
        <v>213970.49343706001</v>
      </c>
      <c r="L48" s="43">
        <f>K48/$G$53</f>
        <v>1.6761211798014175E-4</v>
      </c>
      <c r="M48" s="27">
        <f>'[1]1230(sentyabr2019)'!G11+'[1]1230(sentyabr2019)'!G12</f>
        <v>32627085.549999997</v>
      </c>
      <c r="N48" s="43">
        <f>M48/$G$53</f>
        <v>2.5558173114011203E-2</v>
      </c>
      <c r="O48" s="13">
        <f>AI8</f>
        <v>23830817.539999999</v>
      </c>
      <c r="P48" s="7">
        <f>AJ8</f>
        <v>1.694745523250734E-2</v>
      </c>
      <c r="Q48" s="13">
        <f>AK8</f>
        <v>32883317.689999998</v>
      </c>
      <c r="R48" s="7">
        <f>Q48/Q$53</f>
        <v>2.4947323071510999E-2</v>
      </c>
    </row>
    <row r="49" spans="2:45" hidden="1" x14ac:dyDescent="0.25">
      <c r="B49" s="25" t="s">
        <v>15</v>
      </c>
      <c r="C49" s="23">
        <v>97040268.289999992</v>
      </c>
      <c r="D49" s="22">
        <f>C49/$C$53</f>
        <v>0.14021471522521364</v>
      </c>
      <c r="E49" s="23">
        <v>197716430.97</v>
      </c>
      <c r="F49" s="24">
        <v>0.20630180563019476</v>
      </c>
      <c r="G49" s="23">
        <f>SUM('[1]1230(dekabr2018)'!H7:H10)</f>
        <v>260547879.93000001</v>
      </c>
      <c r="H49" s="45">
        <f>G49/$G$53</f>
        <v>0.20409815058518294</v>
      </c>
      <c r="I49" s="23">
        <f>SUM('[1]1230(mart2019)'!H7:H10)</f>
        <v>225918770.28999999</v>
      </c>
      <c r="J49" s="45">
        <f>I49/$G$53</f>
        <v>0.17697170750748686</v>
      </c>
      <c r="K49" s="23">
        <f>SUM('[1]1230(iyun2019)'!H7:H10)</f>
        <v>221501159.89000002</v>
      </c>
      <c r="L49" s="45">
        <f>K49/$G$53</f>
        <v>0.17351120683909493</v>
      </c>
      <c r="M49" s="23">
        <f>'[1]1230(sentyabr2019)'!G7+'[1]1230(sentyabr2019)'!G8+'[1]1230(sentyabr2019)'!G9+'[1]1230(sentyabr2019)'!G10</f>
        <v>29688071.329999998</v>
      </c>
      <c r="N49" s="45">
        <f>M49/$G$53</f>
        <v>2.3255919236502349E-2</v>
      </c>
      <c r="O49" s="20">
        <f>AI9</f>
        <v>30137799.07</v>
      </c>
      <c r="P49" s="7">
        <f>AJ9</f>
        <v>2.1432709964222502E-2</v>
      </c>
      <c r="Q49" s="20">
        <f>AK9</f>
        <v>29504083.149999999</v>
      </c>
      <c r="R49" s="7">
        <f>Q49/Q$53</f>
        <v>2.2383626287672615E-2</v>
      </c>
    </row>
    <row r="50" spans="2:45" hidden="1" x14ac:dyDescent="0.25">
      <c r="B50" s="28" t="s">
        <v>14</v>
      </c>
      <c r="C50" s="27">
        <v>537486894</v>
      </c>
      <c r="D50" s="26">
        <f>C50/$C$53</f>
        <v>0.77662163458034061</v>
      </c>
      <c r="E50" s="27">
        <v>683691072</v>
      </c>
      <c r="F50" s="44">
        <v>0.71337876146593426</v>
      </c>
      <c r="G50" s="27">
        <f>SUM('[1]1230(dekabr2018)'!H13:H18)+SUM('[1]1230(dekabr2018)'!H13:H18)*0.0055043</f>
        <v>895274390.03535068</v>
      </c>
      <c r="H50" s="43">
        <f>G50/$G$53</f>
        <v>0.70130621412687844</v>
      </c>
      <c r="I50" s="27">
        <f>SUM('[1]1230(mart2019)'!H13:H18)+SUM('[1]1230(mart2019)'!H13:H18)*0.0055043</f>
        <v>933377299.96595192</v>
      </c>
      <c r="J50" s="43">
        <f>I50/$G$53</f>
        <v>0.73115383158144709</v>
      </c>
      <c r="K50" s="27">
        <f>SUM('[1]1230(iyun2019)'!H13:H18)+SUM('[1]1230(iyun2019)'!H13:H18)*0.0055043</f>
        <v>961209925.28771067</v>
      </c>
      <c r="L50" s="43">
        <f>K50/$G$53</f>
        <v>0.75295630165192884</v>
      </c>
      <c r="M50" s="27">
        <f>'[1]1230(sentyabr2019)'!G13+'[1]1230(sentyabr2019)'!G14+'[1]1230(sentyabr2019)'!G15+'[1]1230(sentyabr2019)'!G16+'[1]1230(sentyabr2019)'!G17+'[1]1230(sentyabr2019)'!G18</f>
        <v>963528986.41000009</v>
      </c>
      <c r="N50" s="43">
        <f>M50/$G$53</f>
        <v>0.75477292010332597</v>
      </c>
      <c r="O50" s="13">
        <f>AI10</f>
        <v>998078538.27999997</v>
      </c>
      <c r="P50" s="7">
        <f>AJ10</f>
        <v>0.70979064472442199</v>
      </c>
      <c r="Q50" s="13">
        <f>AK10</f>
        <v>1016352330.37</v>
      </c>
      <c r="R50" s="7">
        <f>Q50/Q$53</f>
        <v>0.77106787640026209</v>
      </c>
    </row>
    <row r="51" spans="2:45" hidden="1" x14ac:dyDescent="0.25">
      <c r="B51" s="25" t="s">
        <v>13</v>
      </c>
      <c r="C51" s="23">
        <v>8435534.8400000017</v>
      </c>
      <c r="D51" s="22">
        <f>C51/$C$53</f>
        <v>1.2188611348726605E-2</v>
      </c>
      <c r="E51" s="23">
        <v>8091609</v>
      </c>
      <c r="F51" s="24">
        <v>8.4429682397353396E-3</v>
      </c>
      <c r="G51" s="23">
        <f>SUM('[1]1230(dekabr2018)'!H39:H54)</f>
        <v>7467258.9300000016</v>
      </c>
      <c r="H51" s="45">
        <f>G51/$G$53</f>
        <v>5.8494190701653438E-3</v>
      </c>
      <c r="I51" s="23">
        <f>SUM('[1]1230(mart2019)'!H38:H53)</f>
        <v>7219255.4500000011</v>
      </c>
      <c r="J51" s="45">
        <f>I51/$G$53</f>
        <v>5.6551474774727125E-3</v>
      </c>
      <c r="K51" s="23">
        <f>SUM('[1]1230(iyun2019)'!H37:H52)</f>
        <v>9712805.5400000028</v>
      </c>
      <c r="L51" s="45">
        <f>K51/$G$53</f>
        <v>7.6084505014591217E-3</v>
      </c>
      <c r="M51" s="23">
        <f>SUM('[1]1230(sentyabr2019)'!G35:G50)</f>
        <v>14044828.830000002</v>
      </c>
      <c r="N51" s="45">
        <f>M51/$G$53</f>
        <v>1.1001907174445604E-2</v>
      </c>
      <c r="O51" s="20">
        <f>AI12</f>
        <v>16674876.02</v>
      </c>
      <c r="P51" s="7">
        <f>AJ12</f>
        <v>1.185845657129563E-2</v>
      </c>
      <c r="Q51" s="20">
        <f>AK12</f>
        <v>16153653.700000001</v>
      </c>
      <c r="R51" s="7">
        <f>Q51/Q$53</f>
        <v>1.2255162980764582E-2</v>
      </c>
    </row>
    <row r="52" spans="2:45" hidden="1" x14ac:dyDescent="0.25">
      <c r="B52" s="28" t="s">
        <v>12</v>
      </c>
      <c r="C52" s="27">
        <v>136268.84000006504</v>
      </c>
      <c r="D52" s="26">
        <f>C52/$C$53</f>
        <v>1.9689657635301786E-4</v>
      </c>
      <c r="E52" s="27">
        <v>3399148.0299999714</v>
      </c>
      <c r="F52" s="44">
        <v>3.5467481015764237E-3</v>
      </c>
      <c r="G52" s="27">
        <f>G53-G47-G48-G49-G50-G51</f>
        <v>57222307.264197774</v>
      </c>
      <c r="H52" s="43">
        <f>G52/$G$53</f>
        <v>4.4824648306397923E-2</v>
      </c>
      <c r="I52" s="27">
        <f>I53-I47-I48-I49-I50-I51</f>
        <v>55500409.084660813</v>
      </c>
      <c r="J52" s="43">
        <f>I52/$G$53</f>
        <v>4.3475812790891501E-2</v>
      </c>
      <c r="K52" s="27">
        <f>K53-K47-K48-K49-K50-K51</f>
        <v>105474896.32885237</v>
      </c>
      <c r="L52" s="43">
        <f>K52/$G$53</f>
        <v>8.2622937786583694E-2</v>
      </c>
      <c r="M52" s="27">
        <f>M53-M47-M48-M49-M50-M51</f>
        <v>117426971.48999946</v>
      </c>
      <c r="N52" s="43">
        <f>M52/$G$53</f>
        <v>9.1985502689052298E-2</v>
      </c>
      <c r="O52" s="13">
        <f>AI13</f>
        <v>201210514.36000001</v>
      </c>
      <c r="P52" s="7">
        <f>AJ13</f>
        <v>0.14309228706493951</v>
      </c>
      <c r="Q52" s="13">
        <f>AK13</f>
        <v>206199302.85999998</v>
      </c>
      <c r="R52" s="7">
        <f>Q52/Q$53</f>
        <v>0.15643557240980943</v>
      </c>
    </row>
    <row r="53" spans="2:45" hidden="1" x14ac:dyDescent="0.25">
      <c r="B53" s="12" t="s">
        <v>11</v>
      </c>
      <c r="C53" s="11">
        <v>692083339</v>
      </c>
      <c r="D53" s="10"/>
      <c r="E53" s="11">
        <v>958384394</v>
      </c>
      <c r="F53" s="35"/>
      <c r="G53" s="11">
        <f>'[1]1265(dekabr2018)'!C21</f>
        <v>1276581287.8900001</v>
      </c>
      <c r="H53" s="42"/>
      <c r="I53" s="11">
        <f>'[1]1265(mart2019)'!C21</f>
        <v>1255152277.53</v>
      </c>
      <c r="J53" s="42"/>
      <c r="K53" s="11">
        <f>'[1]1265(iyun2019)'!C22</f>
        <v>1298866399.8900001</v>
      </c>
      <c r="L53" s="42"/>
      <c r="M53" s="11">
        <f>'[1]1230(sentyabr2019)'!G90</f>
        <v>1188497282.5999994</v>
      </c>
      <c r="N53" s="42"/>
      <c r="O53" s="8">
        <f>AI14</f>
        <v>1406159049.4299998</v>
      </c>
      <c r="P53" s="41">
        <f>AJ14</f>
        <v>1</v>
      </c>
      <c r="Q53" s="8">
        <f>AK14</f>
        <v>1318110067.1899998</v>
      </c>
      <c r="R53" s="7">
        <f>Q53/Q$53</f>
        <v>1</v>
      </c>
    </row>
    <row r="54" spans="2:45" hidden="1" x14ac:dyDescent="0.25">
      <c r="B54" s="34" t="s">
        <v>10</v>
      </c>
      <c r="C54" s="39"/>
      <c r="D54" s="40"/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7"/>
      <c r="P54" s="36"/>
      <c r="Q54" s="13"/>
      <c r="R54" s="36"/>
    </row>
    <row r="55" spans="2:45" hidden="1" x14ac:dyDescent="0.25">
      <c r="B55" s="25" t="s">
        <v>9</v>
      </c>
      <c r="C55" s="23">
        <v>337501623</v>
      </c>
      <c r="D55" s="22">
        <f>C55/$C$63</f>
        <v>0.48766037842734428</v>
      </c>
      <c r="E55" s="23">
        <v>538589603</v>
      </c>
      <c r="F55" s="22">
        <v>0.56197659975669434</v>
      </c>
      <c r="G55" s="23">
        <f>SUM('[1]1230(dekabr2018)'!I55:I56)</f>
        <v>691797194.55999994</v>
      </c>
      <c r="H55" s="22">
        <f>G55/$G$63</f>
        <v>0.54191393930224241</v>
      </c>
      <c r="I55" s="23">
        <f>SUM('[1]1230(mart2019)'!I54:I55)</f>
        <v>664278212.52999997</v>
      </c>
      <c r="J55" s="22">
        <f>I55/$G$63</f>
        <v>0.52035715925928505</v>
      </c>
      <c r="K55" s="23">
        <f>SUM('[1]1230(iyun2019)'!I53:I54)</f>
        <v>663509449.19000006</v>
      </c>
      <c r="L55" s="22">
        <f>K55/$G$63</f>
        <v>0.5197549544899589</v>
      </c>
      <c r="M55" s="23">
        <f>'[1]1230(sentyabr2019)'!H51+'[1]1230(sentyabr2019)'!H52</f>
        <v>513439470.66000003</v>
      </c>
      <c r="N55" s="22">
        <f>M55/$G$63</f>
        <v>0.40219880671182284</v>
      </c>
      <c r="O55" s="20">
        <f>AI16</f>
        <v>728919696.11000001</v>
      </c>
      <c r="P55" s="21">
        <f>AJ16</f>
        <v>0.51837642150471863</v>
      </c>
      <c r="Q55" s="20">
        <f>AK16</f>
        <v>621902790.76999998</v>
      </c>
      <c r="R55" s="7">
        <f>Q55/Q63</f>
        <v>0.47181400571182747</v>
      </c>
    </row>
    <row r="56" spans="2:45" hidden="1" x14ac:dyDescent="0.25">
      <c r="B56" s="28" t="s">
        <v>8</v>
      </c>
      <c r="C56" s="27">
        <v>6448130</v>
      </c>
      <c r="D56" s="26">
        <f>C56/$C$63</f>
        <v>9.3169848725400389E-3</v>
      </c>
      <c r="E56" s="27">
        <v>6604895</v>
      </c>
      <c r="F56" s="26">
        <v>6.8916971534075293E-3</v>
      </c>
      <c r="G56" s="27">
        <f>'[1]1230(dekabr2018)'!I57+'[1]1230(dekabr2018)'!I58+'[1]1230(dekabr2018)'!I59+'[1]1230(dekabr2018)'!I60+'[1]1230(dekabr2018)'!I61+'[1]1230(dekabr2018)'!I62+'[1]1230(dekabr2018)'!I63+'[1]1230(dekabr2018)'!I64+'[1]1230(dekabr2018)'!I65+'[1]1230(dekabr2018)'!I66+'[1]1230(dekabr2018)'!I67+'[1]1230(dekabr2018)'!I71+5416332.34000015</f>
        <v>52277035.250000156</v>
      </c>
      <c r="H56" s="26">
        <f>G56/$G$63</f>
        <v>4.0950808026025791E-2</v>
      </c>
      <c r="I56" s="27">
        <f>SUM('[1]1230(mart2019)'!I56:I66)+'[1]1230(mart2019)'!I69+5684624.49999976</f>
        <v>31782004.07999976</v>
      </c>
      <c r="J56" s="26">
        <f>I56/$G$63</f>
        <v>2.4896185132503947E-2</v>
      </c>
      <c r="K56" s="27">
        <f>SUM('[1]1230(iyun2019)'!I55:I62)+'[1]1230(iyun2019)'!I66+4908011.47000003</f>
        <v>30533905.870000027</v>
      </c>
      <c r="L56" s="26">
        <f>K56/$G$63</f>
        <v>2.3918497129523222E-2</v>
      </c>
      <c r="M56" s="27">
        <f>SUM('[1]1230(sentyabr2019)'!H53:H61)</f>
        <v>24951398.080000002</v>
      </c>
      <c r="N56" s="26">
        <f>M56/$G$63</f>
        <v>1.9545483171887135E-2</v>
      </c>
      <c r="O56" s="13">
        <f>AI17</f>
        <v>25458697.770000003</v>
      </c>
      <c r="P56" s="21">
        <f>AJ17</f>
        <v>1.8105133825593863E-2</v>
      </c>
      <c r="Q56" s="13">
        <f>AK17</f>
        <v>43012822.759999998</v>
      </c>
      <c r="R56" s="7">
        <f>Q56/Q63</f>
        <v>3.263219349480917E-2</v>
      </c>
    </row>
    <row r="57" spans="2:45" hidden="1" x14ac:dyDescent="0.25">
      <c r="B57" s="12" t="s">
        <v>7</v>
      </c>
      <c r="C57" s="11">
        <v>343949753</v>
      </c>
      <c r="D57" s="10"/>
      <c r="E57" s="11">
        <v>545194498</v>
      </c>
      <c r="F57" s="35"/>
      <c r="G57" s="11">
        <f>G56+G55</f>
        <v>744074229.81000006</v>
      </c>
      <c r="H57" s="35"/>
      <c r="I57" s="11">
        <f>I56+I55</f>
        <v>696060216.60999978</v>
      </c>
      <c r="J57" s="35"/>
      <c r="K57" s="11">
        <f>K56+K55</f>
        <v>694043355.06000006</v>
      </c>
      <c r="L57" s="35"/>
      <c r="M57" s="11">
        <f>M56+M55</f>
        <v>538390868.74000001</v>
      </c>
      <c r="N57" s="35"/>
      <c r="O57" s="8">
        <f>AI18</f>
        <v>754378393.88</v>
      </c>
      <c r="P57" s="14"/>
      <c r="Q57" s="8">
        <f>AK18</f>
        <v>664915613.52999997</v>
      </c>
      <c r="R57" s="14"/>
    </row>
    <row r="58" spans="2:45" hidden="1" x14ac:dyDescent="0.25">
      <c r="B58" s="34" t="s">
        <v>6</v>
      </c>
      <c r="C58" s="32"/>
      <c r="D58" s="33"/>
      <c r="E58" s="32"/>
      <c r="F58" s="31"/>
      <c r="G58" s="32"/>
      <c r="H58" s="31"/>
      <c r="I58" s="32"/>
      <c r="J58" s="31"/>
      <c r="K58" s="32"/>
      <c r="L58" s="31"/>
      <c r="M58" s="32"/>
      <c r="N58" s="31"/>
      <c r="O58" s="30"/>
      <c r="P58" s="29"/>
      <c r="Q58" s="13"/>
      <c r="R58" s="29"/>
    </row>
    <row r="59" spans="2:45" hidden="1" x14ac:dyDescent="0.25">
      <c r="B59" s="25" t="s">
        <v>5</v>
      </c>
      <c r="C59" s="23">
        <v>316000000</v>
      </c>
      <c r="D59" s="22">
        <f>C59/$C$63</f>
        <v>0.45659241046980326</v>
      </c>
      <c r="E59" s="23">
        <v>366000000</v>
      </c>
      <c r="F59" s="22">
        <v>0.38189269596975511</v>
      </c>
      <c r="G59" s="23">
        <f>'[1]1230(dekabr2018)'!I72</f>
        <v>466000000</v>
      </c>
      <c r="H59" s="22">
        <f>G59/$G$63</f>
        <v>0.36503746719508084</v>
      </c>
      <c r="I59" s="23">
        <f>'[1]1230(mart2019)'!I70</f>
        <v>486000000</v>
      </c>
      <c r="J59" s="22">
        <f>I59/$G$63</f>
        <v>0.38070431128070664</v>
      </c>
      <c r="K59" s="23">
        <f>'[1]1230(iyun2019)'!I67</f>
        <v>526000000</v>
      </c>
      <c r="L59" s="22">
        <f>K59/$G$63</f>
        <v>0.41203799945195824</v>
      </c>
      <c r="M59" s="23">
        <f>'[1]1230(sentyabr2019)'!H62</f>
        <v>566000000</v>
      </c>
      <c r="N59" s="22">
        <f>M59/$G$63</f>
        <v>0.44337168762320983</v>
      </c>
      <c r="O59" s="20">
        <f>AI20</f>
        <v>566000000</v>
      </c>
      <c r="P59" s="21">
        <f>AJ20</f>
        <v>0.40251492192823674</v>
      </c>
      <c r="Q59" s="20">
        <f>AK20</f>
        <v>566000000</v>
      </c>
      <c r="R59" s="7">
        <f>Q59/Q$63</f>
        <v>0.42940268350018868</v>
      </c>
    </row>
    <row r="60" spans="2:45" hidden="1" x14ac:dyDescent="0.25">
      <c r="B60" s="28" t="s">
        <v>4</v>
      </c>
      <c r="C60" s="27">
        <v>25079596</v>
      </c>
      <c r="D60" s="26">
        <f>C60/$C$63</f>
        <v>3.6237826554584927E-2</v>
      </c>
      <c r="E60" s="27">
        <v>32133586</v>
      </c>
      <c r="F60" s="26">
        <v>3.3528911991027269E-2</v>
      </c>
      <c r="G60" s="27">
        <f>'[1]1230(dekabr2018)'!I73</f>
        <v>47189893.07</v>
      </c>
      <c r="H60" s="26">
        <f>G60/$G$63</f>
        <v>3.6965834857252147E-2</v>
      </c>
      <c r="I60" s="27">
        <f>'[1]1230(mart2019)'!I71+'[1]1230(mart2019)'!I72</f>
        <v>66592693.32</v>
      </c>
      <c r="J60" s="26">
        <f>I60/$G$63</f>
        <v>5.2164867174316697E-2</v>
      </c>
      <c r="K60" s="27">
        <f>'[1]1230(iyun2019)'!I68</f>
        <v>67098864.659999996</v>
      </c>
      <c r="L60" s="26">
        <f>K60/$G$63</f>
        <v>5.256137254753631E-2</v>
      </c>
      <c r="M60" s="27">
        <f>'[1]1230(sentyabr2019)'!H64+'[1]1230(sentyabr2019)'!H63</f>
        <v>67139409.079999998</v>
      </c>
      <c r="N60" s="26">
        <f>M60/$G$63</f>
        <v>5.2593132702870415E-2</v>
      </c>
      <c r="O60" s="13">
        <f>AI21</f>
        <v>67098864.659999996</v>
      </c>
      <c r="P60" s="21">
        <f>AJ21</f>
        <v>4.7717834399457995E-2</v>
      </c>
      <c r="Q60" s="13">
        <f>AK21</f>
        <v>85793714.659999996</v>
      </c>
      <c r="R60" s="7">
        <f>Q60/Q$63</f>
        <v>6.5088429862992001E-2</v>
      </c>
    </row>
    <row r="61" spans="2:45" hidden="1" x14ac:dyDescent="0.25">
      <c r="B61" s="25" t="s">
        <v>3</v>
      </c>
      <c r="C61" s="23">
        <v>7053990</v>
      </c>
      <c r="D61" s="22">
        <f>C61/$C$63</f>
        <v>1.0192399675727493E-2</v>
      </c>
      <c r="E61" s="23">
        <v>15056310</v>
      </c>
      <c r="F61" s="24">
        <v>1.5710095129115802E-2</v>
      </c>
      <c r="G61" s="23">
        <f>'[1]1230(dekabr2018)'!I74</f>
        <v>19317165.010000002</v>
      </c>
      <c r="H61" s="22">
        <f>G61/$G$63</f>
        <v>1.5131950619398798E-2</v>
      </c>
      <c r="I61" s="23">
        <f>'[1]1230(mart2019)'!I73</f>
        <v>6499367.5999999996</v>
      </c>
      <c r="J61" s="22">
        <f>I61/$G$63</f>
        <v>5.0912289422183933E-3</v>
      </c>
      <c r="K61" s="23">
        <f>'[1]1230(iyun2019)'!I69</f>
        <v>11724180.17</v>
      </c>
      <c r="L61" s="22">
        <f>K61/$G$63</f>
        <v>9.1840451377587819E-3</v>
      </c>
      <c r="M61" s="23">
        <f>'[1]1230(sentyabr2019)'!H65</f>
        <v>16967004.780000001</v>
      </c>
      <c r="N61" s="22">
        <f>M61/$G$63</f>
        <v>1.3290970924416374E-2</v>
      </c>
      <c r="O61" s="20">
        <f>AI22</f>
        <v>18681790.890000001</v>
      </c>
      <c r="P61" s="21">
        <f>AJ22</f>
        <v>1.3285688341992924E-2</v>
      </c>
      <c r="Q61" s="20">
        <f>AK22</f>
        <v>1400739</v>
      </c>
      <c r="R61" s="7">
        <f>Q61/Q$63</f>
        <v>1.0626874301826337E-3</v>
      </c>
    </row>
    <row r="62" spans="2:45" hidden="1" x14ac:dyDescent="0.25">
      <c r="B62" s="19" t="s">
        <v>2</v>
      </c>
      <c r="C62" s="17">
        <v>348133586</v>
      </c>
      <c r="D62" s="18"/>
      <c r="E62" s="17">
        <v>413189896</v>
      </c>
      <c r="F62" s="16"/>
      <c r="G62" s="17">
        <f>SUM(G59:G61)</f>
        <v>532507058.07999998</v>
      </c>
      <c r="H62" s="16"/>
      <c r="I62" s="17">
        <f>SUM(I59:I61)</f>
        <v>559092060.92000008</v>
      </c>
      <c r="J62" s="16"/>
      <c r="K62" s="17">
        <f>SUM(K59:K61)</f>
        <v>604823044.82999992</v>
      </c>
      <c r="L62" s="16"/>
      <c r="M62" s="17">
        <f>SUM(M59:M61)</f>
        <v>650106413.86000001</v>
      </c>
      <c r="N62" s="16"/>
      <c r="O62" s="15">
        <f>AI23</f>
        <v>651780655.54999995</v>
      </c>
      <c r="P62" s="14"/>
      <c r="Q62" s="13">
        <f>AK23</f>
        <v>653194453.65999997</v>
      </c>
      <c r="R62" s="7">
        <f>Q62/Q$63</f>
        <v>0.49555380079336325</v>
      </c>
    </row>
    <row r="63" spans="2:45" hidden="1" x14ac:dyDescent="0.25">
      <c r="B63" s="12" t="s">
        <v>1</v>
      </c>
      <c r="C63" s="11">
        <v>692083339</v>
      </c>
      <c r="D63" s="10"/>
      <c r="E63" s="11">
        <v>958384394</v>
      </c>
      <c r="F63" s="10"/>
      <c r="G63" s="11">
        <f>G62+G57</f>
        <v>1276581287.8900001</v>
      </c>
      <c r="H63" s="10"/>
      <c r="I63" s="11">
        <f>I62+I57</f>
        <v>1255152277.5299997</v>
      </c>
      <c r="J63" s="10"/>
      <c r="K63" s="11">
        <f>K62+K57</f>
        <v>1298866399.8899999</v>
      </c>
      <c r="L63" s="10"/>
      <c r="M63" s="11">
        <f>M62+M57</f>
        <v>1188497282.5999999</v>
      </c>
      <c r="N63" s="10"/>
      <c r="O63" s="8">
        <f>AI24</f>
        <v>1406159049.4299998</v>
      </c>
      <c r="P63" s="9">
        <f>AJ24</f>
        <v>1.0000000000000002</v>
      </c>
      <c r="Q63" s="8">
        <f>AK24</f>
        <v>1318110067.1900001</v>
      </c>
      <c r="R63" s="7">
        <f>Q63/Q$63</f>
        <v>1</v>
      </c>
    </row>
    <row r="64" spans="2:45" ht="45" x14ac:dyDescent="0.25">
      <c r="B64" s="5" t="s">
        <v>0</v>
      </c>
      <c r="C64" s="2"/>
      <c r="Q64" s="2"/>
      <c r="AM64" s="2"/>
      <c r="AO64" s="2"/>
      <c r="AQ64" s="2"/>
      <c r="AS64" s="2"/>
    </row>
    <row r="65" spans="2:11" x14ac:dyDescent="0.25">
      <c r="C65" s="2"/>
      <c r="D65" s="6"/>
      <c r="F65" s="6"/>
      <c r="G65" s="2"/>
      <c r="I65" s="3"/>
      <c r="J65" s="6"/>
      <c r="K65" s="3"/>
    </row>
    <row r="66" spans="2:11" x14ac:dyDescent="0.25">
      <c r="B66" s="5"/>
      <c r="K66" s="2"/>
    </row>
    <row r="67" spans="2:11" x14ac:dyDescent="0.25">
      <c r="B67" s="4"/>
      <c r="I67" s="3"/>
      <c r="K67" s="2"/>
    </row>
    <row r="68" spans="2:11" x14ac:dyDescent="0.25">
      <c r="C68" s="2"/>
      <c r="D68" s="2"/>
      <c r="E68" s="2"/>
      <c r="F68" s="2"/>
      <c r="G68" s="2"/>
    </row>
    <row r="70" spans="2:11" x14ac:dyDescent="0.25">
      <c r="E70" s="2"/>
      <c r="G70" s="3"/>
    </row>
    <row r="71" spans="2:11" x14ac:dyDescent="0.25">
      <c r="K71" s="2"/>
    </row>
  </sheetData>
  <mergeCells count="39">
    <mergeCell ref="AU5:AV5"/>
    <mergeCell ref="AW5:AX5"/>
    <mergeCell ref="Q5:R5"/>
    <mergeCell ref="AK5:AL5"/>
    <mergeCell ref="Q45:R45"/>
    <mergeCell ref="AO5:AP5"/>
    <mergeCell ref="AY5:AZ5"/>
    <mergeCell ref="BA5:BB5"/>
    <mergeCell ref="AS5:AT5"/>
    <mergeCell ref="AM5:AN5"/>
    <mergeCell ref="S5:T5"/>
    <mergeCell ref="U5:V5"/>
    <mergeCell ref="AQ5:AR5"/>
    <mergeCell ref="M45:N45"/>
    <mergeCell ref="AI5:AJ5"/>
    <mergeCell ref="AG5:AH5"/>
    <mergeCell ref="AA5:AB5"/>
    <mergeCell ref="AC5:AD5"/>
    <mergeCell ref="AE5:AF5"/>
    <mergeCell ref="W5:X5"/>
    <mergeCell ref="Y5:Z5"/>
    <mergeCell ref="M5:N5"/>
    <mergeCell ref="I5:J5"/>
    <mergeCell ref="E45:F45"/>
    <mergeCell ref="G45:H45"/>
    <mergeCell ref="I45:J45"/>
    <mergeCell ref="K45:L45"/>
    <mergeCell ref="O45:P45"/>
    <mergeCell ref="O5:P5"/>
    <mergeCell ref="C45:D45"/>
    <mergeCell ref="K5:L5"/>
    <mergeCell ref="E26:F26"/>
    <mergeCell ref="G26:H26"/>
    <mergeCell ref="I26:J26"/>
    <mergeCell ref="K26:L26"/>
    <mergeCell ref="C26:D26"/>
    <mergeCell ref="C5:D5"/>
    <mergeCell ref="E5:F5"/>
    <mergeCell ref="G5:H5"/>
  </mergeCells>
  <pageMargins left="0.17" right="0.34" top="0.74803149606299213" bottom="0.74803149606299213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 hesabatı </vt:lpstr>
      <vt:lpstr>'Balans hesabatı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Reyhana Aghayeva</dc:creator>
  <cp:lastModifiedBy>Reyhana Aghayeva</cp:lastModifiedBy>
  <dcterms:created xsi:type="dcterms:W3CDTF">2026-03-19T06:10:48Z</dcterms:created>
  <dcterms:modified xsi:type="dcterms:W3CDTF">2026-03-19T06:11:09Z</dcterms:modified>
</cp:coreProperties>
</file>